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80" yWindow="380" windowWidth="20220" windowHeight="11160" activeTab="0"/>
  </bookViews>
  <sheets>
    <sheet name="Toolbox" sheetId="1" r:id="rId1"/>
    <sheet name="Conversions" sheetId="2" state="hidden" r:id="rId2"/>
    <sheet name="Reference" sheetId="3" r:id="rId3"/>
  </sheets>
  <definedNames>
    <definedName name="_xlnm.Print_Area" localSheetId="0">'Toolbox'!$A$1:$AF$93</definedName>
  </definedNames>
  <calcPr fullCalcOnLoad="1"/>
</workbook>
</file>

<file path=xl/sharedStrings.xml><?xml version="1.0" encoding="utf-8"?>
<sst xmlns="http://schemas.openxmlformats.org/spreadsheetml/2006/main" count="256" uniqueCount="201">
  <si>
    <r>
      <rPr>
        <b/>
        <sz val="11"/>
        <color indexed="8"/>
        <rFont val="Symbol"/>
        <family val="1"/>
      </rPr>
      <t>l</t>
    </r>
    <r>
      <rPr>
        <b/>
        <sz val="11"/>
        <color indexed="8"/>
        <rFont val="Calibri"/>
        <family val="2"/>
      </rPr>
      <t xml:space="preserve"> (m)</t>
    </r>
  </si>
  <si>
    <r>
      <t>e</t>
    </r>
    <r>
      <rPr>
        <b/>
        <vertAlign val="superscript"/>
        <sz val="11"/>
        <color indexed="8"/>
        <rFont val="Calibri"/>
        <family val="2"/>
      </rPr>
      <t>(hc/</t>
    </r>
    <r>
      <rPr>
        <b/>
        <vertAlign val="superscript"/>
        <sz val="11"/>
        <color indexed="8"/>
        <rFont val="Symbol"/>
        <family val="1"/>
      </rPr>
      <t>l</t>
    </r>
    <r>
      <rPr>
        <b/>
        <vertAlign val="superscript"/>
        <sz val="11"/>
        <color indexed="8"/>
        <rFont val="Calibri"/>
        <family val="2"/>
      </rPr>
      <t>kT)</t>
    </r>
  </si>
  <si>
    <r>
      <t>I'(</t>
    </r>
    <r>
      <rPr>
        <b/>
        <sz val="11"/>
        <color indexed="8"/>
        <rFont val="Symbol"/>
        <family val="1"/>
      </rPr>
      <t>l</t>
    </r>
    <r>
      <rPr>
        <b/>
        <sz val="11"/>
        <color indexed="8"/>
        <rFont val="Calibri"/>
        <family val="2"/>
      </rPr>
      <t>,T)</t>
    </r>
  </si>
  <si>
    <t>Black Body Radiation</t>
  </si>
  <si>
    <t>A</t>
  </si>
  <si>
    <t>D</t>
  </si>
  <si>
    <t>B</t>
  </si>
  <si>
    <t>ACTIVE</t>
  </si>
  <si>
    <t>Rod</t>
  </si>
  <si>
    <t>L cone</t>
  </si>
  <si>
    <t>S cone</t>
  </si>
  <si>
    <t>M cone</t>
  </si>
  <si>
    <t>Melanopsin</t>
  </si>
  <si>
    <r>
      <rPr>
        <b/>
        <sz val="12"/>
        <rFont val="Symbol"/>
        <family val="1"/>
      </rPr>
      <t>l</t>
    </r>
    <r>
      <rPr>
        <b/>
        <vertAlign val="subscript"/>
        <sz val="12"/>
        <rFont val="Calibri"/>
        <family val="2"/>
      </rPr>
      <t>max</t>
    </r>
  </si>
  <si>
    <t>Cyanopic</t>
  </si>
  <si>
    <t>Melanopic</t>
  </si>
  <si>
    <t>Rhodopic</t>
  </si>
  <si>
    <t>Erythropic</t>
  </si>
  <si>
    <t>Chloropic</t>
  </si>
  <si>
    <t>Irradiance Toolbox</t>
  </si>
  <si>
    <t>3)</t>
  </si>
  <si>
    <t>2)</t>
  </si>
  <si>
    <t>1)</t>
  </si>
  <si>
    <t>4)</t>
  </si>
  <si>
    <t>OD</t>
  </si>
  <si>
    <t>E</t>
  </si>
  <si>
    <t>FWHM</t>
  </si>
  <si>
    <t>N</t>
  </si>
  <si>
    <t>Narrowband Light Source</t>
  </si>
  <si>
    <t>Title</t>
  </si>
  <si>
    <t>Page 2</t>
  </si>
  <si>
    <t>Page 1</t>
  </si>
  <si>
    <t>Human retinal photopigment complement (all weighted)</t>
  </si>
  <si>
    <t>Sources</t>
  </si>
  <si>
    <t>U</t>
  </si>
  <si>
    <t>RELATIVE SPECTRAL POWER DISTRIBUTIONS</t>
  </si>
  <si>
    <t>VARIABLE SPDs</t>
  </si>
  <si>
    <r>
      <t>n</t>
    </r>
    <r>
      <rPr>
        <b/>
        <vertAlign val="subscript"/>
        <sz val="14"/>
        <rFont val="Calibri"/>
        <family val="2"/>
      </rPr>
      <t>a</t>
    </r>
  </si>
  <si>
    <r>
      <rPr>
        <b/>
        <sz val="12"/>
        <rFont val="Calibri"/>
        <family val="2"/>
      </rPr>
      <t>λ</t>
    </r>
    <r>
      <rPr>
        <b/>
        <vertAlign val="subscript"/>
        <sz val="14"/>
        <rFont val="Calibri"/>
        <family val="2"/>
      </rPr>
      <t>d</t>
    </r>
  </si>
  <si>
    <t>NIST CODATA 2010</t>
  </si>
  <si>
    <t>CIE 18.2, 1983</t>
  </si>
  <si>
    <r>
      <rPr>
        <b/>
        <i/>
        <sz val="12"/>
        <rFont val="Calibri"/>
        <family val="2"/>
      </rPr>
      <t>K</t>
    </r>
    <r>
      <rPr>
        <b/>
        <vertAlign val="subscript"/>
        <sz val="14"/>
        <rFont val="Calibri"/>
        <family val="2"/>
      </rPr>
      <t>m</t>
    </r>
  </si>
  <si>
    <r>
      <rPr>
        <b/>
        <i/>
        <sz val="12"/>
        <rFont val="Calibri"/>
        <family val="2"/>
      </rPr>
      <t>K'</t>
    </r>
    <r>
      <rPr>
        <b/>
        <vertAlign val="subscript"/>
        <sz val="14"/>
        <rFont val="Calibri"/>
        <family val="2"/>
      </rPr>
      <t>m</t>
    </r>
  </si>
  <si>
    <t>r</t>
  </si>
  <si>
    <t>L/P</t>
  </si>
  <si>
    <t>Units</t>
  </si>
  <si>
    <t>Quantity</t>
  </si>
  <si>
    <r>
      <t>V</t>
    </r>
    <r>
      <rPr>
        <vertAlign val="subscript"/>
        <sz val="12"/>
        <rFont val="Calibri"/>
        <family val="2"/>
      </rPr>
      <t>α</t>
    </r>
  </si>
  <si>
    <r>
      <t>L (=E</t>
    </r>
    <r>
      <rPr>
        <vertAlign val="subscript"/>
        <sz val="12"/>
        <rFont val="Calibri"/>
        <family val="2"/>
      </rPr>
      <t>V</t>
    </r>
    <r>
      <rPr>
        <sz val="12"/>
        <rFont val="Calibri"/>
        <family val="2"/>
      </rPr>
      <t>)</t>
    </r>
  </si>
  <si>
    <t>~P</t>
  </si>
  <si>
    <t>~L</t>
  </si>
  <si>
    <t>~Q</t>
  </si>
  <si>
    <t>P, unw'd</t>
  </si>
  <si>
    <t>Q, unw'd</t>
  </si>
  <si>
    <t>photopic</t>
  </si>
  <si>
    <t>lc</t>
  </si>
  <si>
    <t>mc</t>
  </si>
  <si>
    <t>sc</t>
  </si>
  <si>
    <t>Source</t>
  </si>
  <si>
    <t>Max, nm</t>
  </si>
  <si>
    <t>Peak, nm</t>
  </si>
  <si>
    <t>Physical Photometry Constants</t>
  </si>
  <si>
    <t>Details of light measurement</t>
  </si>
  <si>
    <t>Corneal</t>
  </si>
  <si>
    <t>Prefix</t>
  </si>
  <si>
    <t>GAUSSIAN DISTRIBUTION</t>
  </si>
  <si>
    <t>RESULTS</t>
  </si>
  <si>
    <t>INPUTS</t>
  </si>
  <si>
    <t>RATIOS</t>
  </si>
  <si>
    <t xml:space="preserve"> P, L or Q </t>
  </si>
  <si>
    <t>constant</t>
  </si>
  <si>
    <t>value</t>
  </si>
  <si>
    <t>variable</t>
  </si>
  <si>
    <t xml:space="preserve"> nm</t>
  </si>
  <si>
    <t xml:space="preserve"> unit</t>
  </si>
  <si>
    <t xml:space="preserve"> m/s</t>
  </si>
  <si>
    <t xml:space="preserve"> Js</t>
  </si>
  <si>
    <t xml:space="preserve"> J/K</t>
  </si>
  <si>
    <t xml:space="preserve"> K</t>
  </si>
  <si>
    <t xml:space="preserve"> unit </t>
  </si>
  <si>
    <t xml:space="preserve"> lm/W</t>
  </si>
  <si>
    <t xml:space="preserve"> dimensionless</t>
  </si>
  <si>
    <r>
      <t xml:space="preserve">   K</t>
    </r>
    <r>
      <rPr>
        <vertAlign val="subscript"/>
        <sz val="12"/>
        <color indexed="55"/>
        <rFont val="Calibri"/>
        <family val="2"/>
      </rPr>
      <t>m</t>
    </r>
    <r>
      <rPr>
        <sz val="12"/>
        <color indexed="55"/>
        <rFont val="Calibri"/>
        <family val="2"/>
      </rPr>
      <t xml:space="preserve"> and K'</t>
    </r>
    <r>
      <rPr>
        <vertAlign val="subscript"/>
        <sz val="12"/>
        <color indexed="55"/>
        <rFont val="Calibri"/>
        <family val="2"/>
      </rPr>
      <t>m</t>
    </r>
    <r>
      <rPr>
        <sz val="12"/>
        <color indexed="55"/>
        <rFont val="Calibri"/>
        <family val="2"/>
      </rPr>
      <t xml:space="preserve"> denominators interpolated from </t>
    </r>
    <r>
      <rPr>
        <i/>
        <sz val="12"/>
        <color indexed="55"/>
        <rFont val="Calibri"/>
        <family val="2"/>
      </rPr>
      <t>V</t>
    </r>
    <r>
      <rPr>
        <sz val="12"/>
        <color indexed="55"/>
        <rFont val="Calibri"/>
        <family val="2"/>
      </rPr>
      <t xml:space="preserve">(555,556) and </t>
    </r>
    <r>
      <rPr>
        <i/>
        <sz val="12"/>
        <color indexed="55"/>
        <rFont val="Calibri"/>
        <family val="2"/>
      </rPr>
      <t>V'</t>
    </r>
    <r>
      <rPr>
        <sz val="12"/>
        <color indexed="55"/>
        <rFont val="Calibri"/>
        <family val="2"/>
      </rPr>
      <t>(</t>
    </r>
    <r>
      <rPr>
        <sz val="12"/>
        <color indexed="55"/>
        <rFont val="Calibri"/>
        <family val="2"/>
      </rPr>
      <t>555,556</t>
    </r>
    <r>
      <rPr>
        <sz val="12"/>
        <color indexed="55"/>
        <rFont val="Calibri"/>
        <family val="2"/>
      </rPr>
      <t>)</t>
    </r>
  </si>
  <si>
    <t xml:space="preserve">   given as 0.999998, but here is accurately calculated as 0.99999773..</t>
  </si>
  <si>
    <t xml:space="preserve"> </t>
  </si>
  <si>
    <t xml:space="preserve">   given as 0.401750, here 0.401753.. Similarly - for reference - not used here</t>
  </si>
  <si>
    <r>
      <t xml:space="preserve">    </t>
    </r>
    <r>
      <rPr>
        <sz val="12"/>
        <rFont val="Symbol"/>
        <family val="1"/>
      </rPr>
      <t>m</t>
    </r>
    <r>
      <rPr>
        <sz val="12"/>
        <rFont val="Calibri"/>
        <family val="2"/>
      </rPr>
      <t>W/cm</t>
    </r>
    <r>
      <rPr>
        <vertAlign val="superscript"/>
        <sz val="12"/>
        <rFont val="Calibri"/>
        <family val="2"/>
      </rPr>
      <t>2</t>
    </r>
  </si>
  <si>
    <t xml:space="preserve">    lux</t>
  </si>
  <si>
    <r>
      <t xml:space="preserve">    photons/cm</t>
    </r>
    <r>
      <rPr>
        <vertAlign val="superscript"/>
        <sz val="12"/>
        <rFont val="Calibri"/>
        <family val="2"/>
      </rPr>
      <t>2</t>
    </r>
    <r>
      <rPr>
        <sz val="12"/>
        <rFont val="Calibri"/>
        <family val="2"/>
      </rPr>
      <t>/s</t>
    </r>
  </si>
  <si>
    <t>UNITS</t>
  </si>
  <si>
    <t>1E-15 / hc</t>
  </si>
  <si>
    <t>Q/P</t>
  </si>
  <si>
    <t xml:space="preserve"> L from P</t>
  </si>
  <si>
    <t xml:space="preserve"> Q from P</t>
  </si>
  <si>
    <t>STANDARD OBSERVER NORMALISED PIGMENTS</t>
  </si>
  <si>
    <t xml:space="preserve">    -opic lux, lux</t>
  </si>
  <si>
    <r>
      <rPr>
        <sz val="10"/>
        <rFont val="Calibri"/>
        <family val="2"/>
      </rPr>
      <t xml:space="preserve">1E-2 </t>
    </r>
    <r>
      <rPr>
        <i/>
        <sz val="10"/>
        <rFont val="Calibri"/>
        <family val="2"/>
      </rPr>
      <t>K</t>
    </r>
    <r>
      <rPr>
        <vertAlign val="subscript"/>
        <sz val="10"/>
        <rFont val="Calibri"/>
        <family val="2"/>
      </rPr>
      <t>m</t>
    </r>
  </si>
  <si>
    <t>EQUIVALENT LUX VALUES (CORNEAL)</t>
  </si>
  <si>
    <t>USER</t>
  </si>
  <si>
    <t>Chart input</t>
  </si>
  <si>
    <t>Weighted chart</t>
  </si>
  <si>
    <t>α-opic lux</t>
  </si>
  <si>
    <t>lux</t>
  </si>
  <si>
    <t>Photopic illuminance</t>
  </si>
  <si>
    <t>Photopic</t>
  </si>
  <si>
    <t>Optional prefix</t>
  </si>
  <si>
    <t>Sensitivity</t>
  </si>
  <si>
    <t>V(λ)</t>
  </si>
  <si>
    <t>Visibility</t>
  </si>
  <si>
    <t>5)</t>
  </si>
  <si>
    <t>n/a</t>
  </si>
  <si>
    <t>Subscript</t>
  </si>
  <si>
    <t>Curve</t>
  </si>
  <si>
    <t>6)</t>
  </si>
  <si>
    <t xml:space="preserve">Select mode </t>
  </si>
  <si>
    <r>
      <t>P</t>
    </r>
    <r>
      <rPr>
        <b/>
        <sz val="12"/>
        <rFont val="Calibri"/>
        <family val="2"/>
      </rPr>
      <t>hoton flux</t>
    </r>
  </si>
  <si>
    <r>
      <t>L</t>
    </r>
    <r>
      <rPr>
        <b/>
        <sz val="12"/>
        <rFont val="Calibri"/>
        <family val="2"/>
      </rPr>
      <t>og photon flux</t>
    </r>
  </si>
  <si>
    <t>Unweighted summations from 380 to 780 nm inclusive</t>
  </si>
  <si>
    <t>Amount</t>
  </si>
  <si>
    <t>MODE</t>
  </si>
  <si>
    <t>For blackbody or narrowband sources</t>
  </si>
  <si>
    <t>Peak spectral irradiance</t>
  </si>
  <si>
    <t xml:space="preserve">Pigment </t>
  </si>
  <si>
    <t>Spectral power distribution chart</t>
  </si>
  <si>
    <t>User defined measurement</t>
  </si>
  <si>
    <t>Spectral breakdowns</t>
  </si>
  <si>
    <t>max</t>
  </si>
  <si>
    <r>
      <t>V</t>
    </r>
    <r>
      <rPr>
        <b/>
        <sz val="11"/>
        <color indexed="8"/>
        <rFont val="Calibri"/>
        <family val="2"/>
      </rPr>
      <t>(λ)</t>
    </r>
    <r>
      <rPr>
        <b/>
        <vertAlign val="subscript"/>
        <sz val="11"/>
        <color indexed="9"/>
        <rFont val="Calibri"/>
        <family val="2"/>
      </rPr>
      <t>x</t>
    </r>
  </si>
  <si>
    <t>K * max</t>
  </si>
  <si>
    <t>5 * sum</t>
  </si>
  <si>
    <t>pre-receptoral</t>
  </si>
  <si>
    <t>age</t>
  </si>
  <si>
    <t>pupil</t>
  </si>
  <si>
    <t>undilated</t>
  </si>
  <si>
    <t>Standard observer</t>
  </si>
  <si>
    <r>
      <t xml:space="preserve">transmittance, </t>
    </r>
    <r>
      <rPr>
        <b/>
        <sz val="11"/>
        <rFont val="Calibri"/>
        <family val="2"/>
      </rPr>
      <t>T(</t>
    </r>
    <r>
      <rPr>
        <b/>
        <sz val="11"/>
        <rFont val="Calibri"/>
        <family val="2"/>
      </rPr>
      <t>λ</t>
    </r>
    <r>
      <rPr>
        <b/>
        <sz val="11"/>
        <rFont val="Calibri"/>
        <family val="2"/>
      </rPr>
      <t>)</t>
    </r>
  </si>
  <si>
    <t>Reference functions - human</t>
  </si>
  <si>
    <r>
      <t>T(</t>
    </r>
    <r>
      <rPr>
        <sz val="11"/>
        <rFont val="Calibri"/>
        <family val="2"/>
      </rPr>
      <t>λ</t>
    </r>
    <r>
      <rPr>
        <sz val="11"/>
        <rFont val="Calibri"/>
        <family val="2"/>
      </rPr>
      <t>)</t>
    </r>
  </si>
  <si>
    <t>cyanopic</t>
  </si>
  <si>
    <t>melanopic</t>
  </si>
  <si>
    <t>rhodopic</t>
  </si>
  <si>
    <t>chloropic</t>
  </si>
  <si>
    <t>erythropic</t>
  </si>
  <si>
    <t>L</t>
  </si>
  <si>
    <t>Selected pigment</t>
  </si>
  <si>
    <t>Wavelength (nm)</t>
  </si>
  <si>
    <t>Enezi</t>
  </si>
  <si>
    <t>melanopic function</t>
  </si>
  <si>
    <t>V'(l)</t>
  </si>
  <si>
    <t>Scotopic, CIE standard)</t>
  </si>
  <si>
    <t>scotopic</t>
  </si>
  <si>
    <t>Enezi et al (2011) with permission</t>
  </si>
  <si>
    <t>CIE 1924</t>
  </si>
  <si>
    <t>WEIGHTED</t>
  </si>
  <si>
    <t xml:space="preserve"> A,B,D,E,F,L,N or U</t>
  </si>
  <si>
    <t>Enter title here for printing</t>
  </si>
  <si>
    <t>See user guide for further details, available freely with the toolbox.</t>
  </si>
  <si>
    <t>₁₀</t>
  </si>
  <si>
    <t>²</t>
  </si>
  <si>
    <r>
      <t>1/cm²</t>
    </r>
    <r>
      <rPr>
        <b/>
        <sz val="12"/>
        <rFont val="Calibri"/>
        <family val="2"/>
      </rPr>
      <t>/s</t>
    </r>
  </si>
  <si>
    <t>µW/cm²</t>
  </si>
  <si>
    <t>log₁₀ (1/cm²/s)</t>
  </si>
  <si>
    <r>
      <rPr>
        <b/>
        <sz val="12"/>
        <rFont val="Symbol"/>
        <family val="1"/>
      </rPr>
      <t>l</t>
    </r>
    <r>
      <rPr>
        <b/>
        <vertAlign val="subscript"/>
        <sz val="14"/>
        <rFont val="Calibri"/>
        <family val="2"/>
      </rPr>
      <t>max</t>
    </r>
  </si>
  <si>
    <r>
      <t>α in N</t>
    </r>
    <r>
      <rPr>
        <b/>
        <vertAlign val="subscript"/>
        <sz val="14"/>
        <color indexed="8"/>
        <rFont val="Calibri"/>
        <family val="2"/>
      </rPr>
      <t>α</t>
    </r>
    <r>
      <rPr>
        <b/>
        <sz val="12"/>
        <color indexed="8"/>
        <rFont val="Calibri"/>
        <family val="2"/>
      </rPr>
      <t>(</t>
    </r>
    <r>
      <rPr>
        <b/>
        <sz val="12"/>
        <color indexed="8"/>
        <rFont val="Calibri"/>
        <family val="2"/>
      </rPr>
      <t>λ</t>
    </r>
    <r>
      <rPr>
        <b/>
        <sz val="12"/>
        <color indexed="8"/>
        <rFont val="Calibri"/>
        <family val="2"/>
      </rPr>
      <t>)</t>
    </r>
  </si>
  <si>
    <r>
      <t>N</t>
    </r>
    <r>
      <rPr>
        <b/>
        <vertAlign val="subscript"/>
        <sz val="14"/>
        <color indexed="8"/>
        <rFont val="Calibri"/>
        <family val="2"/>
      </rPr>
      <t>sc</t>
    </r>
    <r>
      <rPr>
        <b/>
        <sz val="12"/>
        <color indexed="8"/>
        <rFont val="Calibri"/>
        <family val="2"/>
      </rPr>
      <t>(λ)</t>
    </r>
  </si>
  <si>
    <r>
      <t>N</t>
    </r>
    <r>
      <rPr>
        <b/>
        <vertAlign val="subscript"/>
        <sz val="14"/>
        <color indexed="8"/>
        <rFont val="Calibri"/>
        <family val="2"/>
      </rPr>
      <t>r</t>
    </r>
    <r>
      <rPr>
        <b/>
        <sz val="12"/>
        <color indexed="8"/>
        <rFont val="Calibri"/>
        <family val="2"/>
      </rPr>
      <t>(λ)</t>
    </r>
  </si>
  <si>
    <r>
      <t>N</t>
    </r>
    <r>
      <rPr>
        <b/>
        <vertAlign val="subscript"/>
        <sz val="14"/>
        <color indexed="8"/>
        <rFont val="Calibri"/>
        <family val="2"/>
      </rPr>
      <t>mc</t>
    </r>
    <r>
      <rPr>
        <b/>
        <sz val="12"/>
        <color indexed="8"/>
        <rFont val="Calibri"/>
        <family val="2"/>
      </rPr>
      <t>(λ)</t>
    </r>
  </si>
  <si>
    <r>
      <t>N</t>
    </r>
    <r>
      <rPr>
        <b/>
        <vertAlign val="subscript"/>
        <sz val="14"/>
        <color indexed="8"/>
        <rFont val="Calibri"/>
        <family val="2"/>
      </rPr>
      <t>lc</t>
    </r>
    <r>
      <rPr>
        <b/>
        <sz val="12"/>
        <color indexed="8"/>
        <rFont val="Calibri"/>
        <family val="2"/>
      </rPr>
      <t>(λ)</t>
    </r>
  </si>
  <si>
    <t>µ</t>
  </si>
  <si>
    <t>SPD, total in µW/cm²</t>
  </si>
  <si>
    <t>Quanta</t>
  </si>
  <si>
    <t>Input for user defined measurements</t>
  </si>
  <si>
    <t>Irradiance</t>
  </si>
  <si>
    <t xml:space="preserve">Blackbody temperature  </t>
  </si>
  <si>
    <t xml:space="preserve">Narrowband peak  </t>
  </si>
  <si>
    <t xml:space="preserve">Narrowband FWHM  </t>
  </si>
  <si>
    <t xml:space="preserve">Light source  </t>
  </si>
  <si>
    <t xml:space="preserve">Units  </t>
  </si>
  <si>
    <t xml:space="preserve">Amount  </t>
  </si>
  <si>
    <r>
      <t>N</t>
    </r>
    <r>
      <rPr>
        <b/>
        <vertAlign val="subscript"/>
        <sz val="13"/>
        <color indexed="8"/>
        <rFont val="Calibri"/>
        <family val="2"/>
      </rPr>
      <t>lc</t>
    </r>
    <r>
      <rPr>
        <b/>
        <sz val="11"/>
        <color indexed="8"/>
        <rFont val="Calibri"/>
        <family val="2"/>
      </rPr>
      <t>(λ)</t>
    </r>
  </si>
  <si>
    <r>
      <t>N</t>
    </r>
    <r>
      <rPr>
        <b/>
        <vertAlign val="subscript"/>
        <sz val="13"/>
        <color indexed="8"/>
        <rFont val="Calibri"/>
        <family val="2"/>
      </rPr>
      <t>mc</t>
    </r>
    <r>
      <rPr>
        <b/>
        <sz val="11"/>
        <color indexed="8"/>
        <rFont val="Calibri"/>
        <family val="2"/>
      </rPr>
      <t>(λ)</t>
    </r>
  </si>
  <si>
    <r>
      <t>N</t>
    </r>
    <r>
      <rPr>
        <b/>
        <vertAlign val="subscript"/>
        <sz val="13"/>
        <color indexed="8"/>
        <rFont val="Calibri"/>
        <family val="2"/>
      </rPr>
      <t>r</t>
    </r>
    <r>
      <rPr>
        <b/>
        <sz val="11"/>
        <color indexed="8"/>
        <rFont val="Calibri"/>
        <family val="2"/>
      </rPr>
      <t>(λ)</t>
    </r>
  </si>
  <si>
    <r>
      <t>N</t>
    </r>
    <r>
      <rPr>
        <b/>
        <vertAlign val="subscript"/>
        <sz val="13"/>
        <color indexed="8"/>
        <rFont val="Calibri"/>
        <family val="2"/>
      </rPr>
      <t>sc</t>
    </r>
    <r>
      <rPr>
        <b/>
        <sz val="11"/>
        <color indexed="8"/>
        <rFont val="Calibri"/>
        <family val="2"/>
      </rPr>
      <t>(λ)</t>
    </r>
  </si>
  <si>
    <r>
      <t>K</t>
    </r>
    <r>
      <rPr>
        <vertAlign val="subscript"/>
        <sz val="13"/>
        <rFont val="Calibri"/>
        <family val="2"/>
      </rPr>
      <t>n</t>
    </r>
    <r>
      <rPr>
        <sz val="11"/>
        <rFont val="Calibri"/>
        <family val="2"/>
      </rPr>
      <t>, K</t>
    </r>
    <r>
      <rPr>
        <vertAlign val="subscript"/>
        <sz val="13"/>
        <rFont val="Calibri"/>
        <family val="2"/>
      </rPr>
      <t>m</t>
    </r>
  </si>
  <si>
    <t>z</t>
  </si>
  <si>
    <r>
      <t>N</t>
    </r>
    <r>
      <rPr>
        <b/>
        <vertAlign val="subscript"/>
        <sz val="14"/>
        <color indexed="8"/>
        <rFont val="Calibri"/>
        <family val="2"/>
      </rPr>
      <t>z</t>
    </r>
    <r>
      <rPr>
        <b/>
        <sz val="12"/>
        <color indexed="8"/>
        <rFont val="Calibri"/>
        <family val="2"/>
      </rPr>
      <t>(λ)</t>
    </r>
  </si>
  <si>
    <r>
      <t>N</t>
    </r>
    <r>
      <rPr>
        <b/>
        <vertAlign val="subscript"/>
        <sz val="13"/>
        <color indexed="8"/>
        <rFont val="Calibri"/>
        <family val="2"/>
      </rPr>
      <t>z</t>
    </r>
    <r>
      <rPr>
        <b/>
        <sz val="11"/>
        <color indexed="8"/>
        <rFont val="Calibri"/>
        <family val="2"/>
      </rPr>
      <t>(λ)</t>
    </r>
  </si>
  <si>
    <t>5nm spectral data</t>
  </si>
  <si>
    <t>Stockman and Sharpe (2000); Stockman, Sharpe, and Fach (1999); Lamb (1995)</t>
  </si>
  <si>
    <t>Dartnall HJ, Bowmaker JK, Mollon JD (1983). Proc R Soc Lond B. Nov 22;220(1218):115-30.</t>
  </si>
  <si>
    <t>-</t>
  </si>
  <si>
    <t>Pre-receptoral filtering includes lens data from Pokorny and Smith (1997), W&amp;S 1980</t>
  </si>
  <si>
    <t>Adjusted for smoothness and absolute transmittance (unpublished age related model)</t>
  </si>
  <si>
    <t>Lux</t>
  </si>
  <si>
    <t>nm</t>
  </si>
  <si>
    <t>Power</t>
  </si>
  <si>
    <t>F</t>
  </si>
  <si>
    <t>c</t>
  </si>
  <si>
    <t>h</t>
  </si>
  <si>
    <t>k</t>
  </si>
  <si>
    <t>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</si>
</sst>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00"/>
    <numFmt numFmtId="170" formatCode="0.0E+00"/>
    <numFmt numFmtId="171" formatCode="0.000"/>
    <numFmt numFmtId="172" formatCode="0.000000"/>
    <numFmt numFmtId="173" formatCode="0.00000000"/>
    <numFmt numFmtId="174" formatCode="0.0%"/>
    <numFmt numFmtId="175" formatCode="0.000%"/>
    <numFmt numFmtId="176" formatCode="#,##0.0"/>
    <numFmt numFmtId="177" formatCode="0.000E+00"/>
    <numFmt numFmtId="178" formatCode="0.00000"/>
    <numFmt numFmtId="179" formatCode="0.0000000"/>
    <numFmt numFmtId="180" formatCode="0.000\ 000"/>
    <numFmt numFmtId="181" formatCode="#\ ##0.000"/>
    <numFmt numFmtId="182" formatCode="&quot;Yes&quot;;&quot;Yes&quot;;&quot;No&quot;"/>
    <numFmt numFmtId="183" formatCode="&quot;True&quot;;&quot;True&quot;;&quot;False&quot;"/>
    <numFmt numFmtId="184" formatCode="&quot;On&quot;;&quot;On&quot;;&quot;Off&quot;"/>
    <numFmt numFmtId="185" formatCode="[$€-2]\ #,##0.00_);[Red]\([$€-2]\ #,##0.00\)"/>
    <numFmt numFmtId="186" formatCode="General"/>
  </numFmts>
  <fonts count="65">
    <font>
      <sz val="11"/>
      <color indexed="8"/>
      <name val="Calibri"/>
      <family val="2"/>
    </font>
    <font>
      <b/>
      <sz val="11"/>
      <color indexed="8"/>
      <name val="Calibri"/>
      <family val="2"/>
    </font>
    <font>
      <b/>
      <sz val="11"/>
      <color indexed="8"/>
      <name val="Symbol"/>
      <family val="1"/>
    </font>
    <font>
      <b/>
      <vertAlign val="superscript"/>
      <sz val="11"/>
      <color indexed="8"/>
      <name val="Calibri"/>
      <family val="2"/>
    </font>
    <font>
      <b/>
      <vertAlign val="superscript"/>
      <sz val="11"/>
      <color indexed="8"/>
      <name val="Symbol"/>
      <family val="1"/>
    </font>
    <font>
      <b/>
      <sz val="12"/>
      <name val="Calibri"/>
      <family val="2"/>
    </font>
    <font>
      <sz val="12"/>
      <name val="Calibri"/>
      <family val="2"/>
    </font>
    <font>
      <b/>
      <sz val="12"/>
      <name val="Symbol"/>
      <family val="1"/>
    </font>
    <font>
      <b/>
      <vertAlign val="subscript"/>
      <sz val="12"/>
      <name val="Calibri"/>
      <family val="2"/>
    </font>
    <font>
      <vertAlign val="subscript"/>
      <sz val="12"/>
      <name val="Calibri"/>
      <family val="2"/>
    </font>
    <font>
      <b/>
      <vertAlign val="subscript"/>
      <sz val="14"/>
      <name val="Calibri"/>
      <family val="2"/>
    </font>
    <font>
      <b/>
      <i/>
      <sz val="12"/>
      <name val="Calibri"/>
      <family val="2"/>
    </font>
    <font>
      <sz val="12"/>
      <color indexed="55"/>
      <name val="Calibri"/>
      <family val="2"/>
    </font>
    <font>
      <vertAlign val="subscript"/>
      <sz val="12"/>
      <color indexed="55"/>
      <name val="Calibri"/>
      <family val="2"/>
    </font>
    <font>
      <i/>
      <sz val="12"/>
      <color indexed="55"/>
      <name val="Calibri"/>
      <family val="2"/>
    </font>
    <font>
      <sz val="12"/>
      <name val="Symbol"/>
      <family val="1"/>
    </font>
    <font>
      <vertAlign val="superscript"/>
      <sz val="12"/>
      <name val="Calibri"/>
      <family val="2"/>
    </font>
    <font>
      <sz val="10"/>
      <name val="Calibri"/>
      <family val="2"/>
    </font>
    <font>
      <i/>
      <sz val="10"/>
      <name val="Calibri"/>
      <family val="2"/>
    </font>
    <font>
      <vertAlign val="subscript"/>
      <sz val="10"/>
      <name val="Calibri"/>
      <family val="2"/>
    </font>
    <font>
      <b/>
      <sz val="12"/>
      <color indexed="8"/>
      <name val="Calibri"/>
      <family val="2"/>
    </font>
    <font>
      <b/>
      <sz val="14"/>
      <color indexed="8"/>
      <name val="Calibri"/>
      <family val="2"/>
    </font>
    <font>
      <b/>
      <i/>
      <sz val="11"/>
      <color indexed="8"/>
      <name val="Calibri"/>
      <family val="2"/>
    </font>
    <font>
      <b/>
      <sz val="12"/>
      <color indexed="10"/>
      <name val="Calibri"/>
      <family val="2"/>
    </font>
    <font>
      <sz val="12"/>
      <color indexed="8"/>
      <name val="Calibri"/>
      <family val="2"/>
    </font>
    <font>
      <b/>
      <sz val="12"/>
      <color indexed="12"/>
      <name val="Calibri"/>
      <family val="2"/>
    </font>
    <font>
      <b/>
      <sz val="12"/>
      <color indexed="11"/>
      <name val="Calibri"/>
      <family val="2"/>
    </font>
    <font>
      <sz val="12"/>
      <color indexed="10"/>
      <name val="Calibri"/>
      <family val="2"/>
    </font>
    <font>
      <sz val="26"/>
      <color indexed="10"/>
      <name val="Calibri"/>
      <family val="2"/>
    </font>
    <font>
      <b/>
      <sz val="11"/>
      <color indexed="10"/>
      <name val="Calibri"/>
      <family val="2"/>
    </font>
    <font>
      <sz val="11"/>
      <name val="Calibri"/>
      <family val="2"/>
    </font>
    <font>
      <sz val="12"/>
      <color indexed="12"/>
      <name val="Calibri"/>
      <family val="2"/>
    </font>
    <font>
      <b/>
      <sz val="12"/>
      <color indexed="23"/>
      <name val="Calibri"/>
      <family val="2"/>
    </font>
    <font>
      <b/>
      <sz val="10"/>
      <name val="Calibri"/>
      <family val="2"/>
    </font>
    <font>
      <b/>
      <sz val="11"/>
      <name val="Calibri"/>
      <family val="2"/>
    </font>
    <font>
      <b/>
      <vertAlign val="subscript"/>
      <sz val="11"/>
      <color indexed="9"/>
      <name val="Calibri"/>
      <family val="2"/>
    </font>
    <font>
      <b/>
      <vertAlign val="subscript"/>
      <sz val="14"/>
      <color indexed="8"/>
      <name val="Calibri"/>
      <family val="2"/>
    </font>
    <font>
      <b/>
      <vertAlign val="subscript"/>
      <sz val="13"/>
      <color indexed="8"/>
      <name val="Calibri"/>
      <family val="2"/>
    </font>
    <font>
      <vertAlign val="subscript"/>
      <sz val="13"/>
      <name val="Calibri"/>
      <family val="2"/>
    </font>
    <font>
      <sz val="10"/>
      <color indexed="8"/>
      <name val="Calibri"/>
      <family val="2"/>
    </font>
    <font>
      <sz val="7.8"/>
      <color indexed="8"/>
      <name val="Calibri"/>
      <family val="2"/>
    </font>
    <font>
      <sz val="14"/>
      <color indexed="8"/>
      <name val="Calibri"/>
      <family val="2"/>
    </font>
    <font>
      <sz val="9.25"/>
      <color indexed="8"/>
      <name val="Calibri"/>
      <family val="2"/>
    </font>
    <font>
      <sz val="7.7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9"/>
      <name val="Calibri"/>
      <family val="2"/>
    </font>
    <font>
      <b/>
      <sz val="16"/>
      <color indexed="8"/>
      <name val="Calibri"/>
      <family val="2"/>
    </font>
    <font>
      <b/>
      <vertAlign val="superscript"/>
      <sz val="16"/>
      <color indexed="8"/>
      <name val="Calibri"/>
      <family val="2"/>
    </font>
    <font>
      <sz val="10"/>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top style="thin"/>
      <bottom style="thin"/>
    </border>
    <border>
      <left/>
      <right style="thin"/>
      <top style="thin"/>
      <bottom style="thin"/>
    </border>
    <border>
      <left style="thin"/>
      <right/>
      <top/>
      <bottom/>
    </border>
    <border>
      <left style="thin"/>
      <right/>
      <top/>
      <bottom style="thin"/>
    </border>
    <border>
      <left/>
      <right/>
      <top/>
      <bottom style="thin"/>
    </border>
    <border>
      <left/>
      <right style="thin"/>
      <top/>
      <bottom/>
    </border>
    <border>
      <left/>
      <right style="thin"/>
      <top/>
      <bottom style="thin"/>
    </border>
    <border>
      <left style="thin"/>
      <right style="thin"/>
      <top style="thin"/>
      <bottom style="thin"/>
    </border>
    <border>
      <left/>
      <right/>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style="thin"/>
      <top style="thin"/>
      <bottom/>
    </border>
    <border>
      <left style="medium"/>
      <right style="medium"/>
      <top style="medium"/>
      <bottom style="medium"/>
    </border>
    <border>
      <left style="medium"/>
      <right style="medium"/>
      <top/>
      <bottom/>
    </border>
    <border>
      <left style="medium"/>
      <right style="medium"/>
      <top style="medium"/>
      <bottom/>
    </border>
    <border>
      <left style="medium"/>
      <right style="medium"/>
      <top/>
      <bottom style="mediu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4"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1" fillId="0" borderId="9" applyNumberFormat="0" applyFill="0" applyAlignment="0" applyProtection="0"/>
    <xf numFmtId="0" fontId="60" fillId="0" borderId="0" applyNumberFormat="0" applyFill="0" applyBorder="0" applyAlignment="0" applyProtection="0"/>
  </cellStyleXfs>
  <cellXfs count="228">
    <xf numFmtId="0" fontId="0" fillId="0" borderId="0" xfId="0" applyAlignment="1">
      <alignment/>
    </xf>
    <xf numFmtId="0" fontId="0" fillId="24" borderId="0" xfId="0" applyFill="1" applyAlignment="1">
      <alignment/>
    </xf>
    <xf numFmtId="11" fontId="0" fillId="24" borderId="0" xfId="0" applyNumberFormat="1" applyFill="1" applyAlignment="1">
      <alignment/>
    </xf>
    <xf numFmtId="0" fontId="21" fillId="24" borderId="0" xfId="0" applyFont="1" applyFill="1" applyAlignment="1">
      <alignment/>
    </xf>
    <xf numFmtId="11" fontId="0" fillId="24" borderId="0" xfId="0" applyNumberFormat="1" applyFont="1" applyFill="1" applyAlignment="1">
      <alignment horizontal="center"/>
    </xf>
    <xf numFmtId="0" fontId="0" fillId="24" borderId="0" xfId="0" applyFont="1" applyFill="1" applyAlignment="1">
      <alignment horizontal="center"/>
    </xf>
    <xf numFmtId="0" fontId="0" fillId="24" borderId="0" xfId="0" applyFont="1" applyFill="1" applyAlignment="1">
      <alignment/>
    </xf>
    <xf numFmtId="0" fontId="22" fillId="24" borderId="0" xfId="0" applyFont="1" applyFill="1" applyAlignment="1">
      <alignment horizontal="center"/>
    </xf>
    <xf numFmtId="0" fontId="1" fillId="24" borderId="0" xfId="0" applyFont="1" applyFill="1" applyAlignment="1">
      <alignment horizontal="left"/>
    </xf>
    <xf numFmtId="0" fontId="27" fillId="24" borderId="0" xfId="0" applyFont="1" applyFill="1" applyAlignment="1">
      <alignment/>
    </xf>
    <xf numFmtId="0" fontId="6" fillId="24" borderId="0" xfId="0" applyFont="1" applyFill="1" applyAlignment="1">
      <alignment/>
    </xf>
    <xf numFmtId="0" fontId="6" fillId="24" borderId="0" xfId="0" applyFont="1" applyFill="1" applyAlignment="1">
      <alignment horizontal="center"/>
    </xf>
    <xf numFmtId="11" fontId="6" fillId="24" borderId="0" xfId="0" applyNumberFormat="1" applyFont="1" applyFill="1" applyAlignment="1">
      <alignment/>
    </xf>
    <xf numFmtId="2" fontId="6" fillId="24" borderId="0" xfId="0" applyNumberFormat="1" applyFont="1" applyFill="1" applyAlignment="1">
      <alignment/>
    </xf>
    <xf numFmtId="0" fontId="5" fillId="24" borderId="0" xfId="0" applyFont="1" applyFill="1" applyAlignment="1">
      <alignment/>
    </xf>
    <xf numFmtId="0" fontId="5" fillId="24" borderId="0" xfId="0" applyFont="1" applyFill="1" applyAlignment="1">
      <alignment horizontal="center"/>
    </xf>
    <xf numFmtId="0" fontId="23" fillId="24" borderId="0" xfId="0" applyFont="1" applyFill="1" applyAlignment="1">
      <alignment/>
    </xf>
    <xf numFmtId="0" fontId="5" fillId="24" borderId="0" xfId="0" applyFont="1" applyFill="1" applyBorder="1" applyAlignment="1">
      <alignment horizontal="center"/>
    </xf>
    <xf numFmtId="0" fontId="5" fillId="20" borderId="10" xfId="0" applyFont="1" applyFill="1" applyBorder="1" applyAlignment="1">
      <alignment horizontal="center"/>
    </xf>
    <xf numFmtId="0" fontId="5" fillId="20" borderId="11" xfId="0" applyFont="1" applyFill="1" applyBorder="1" applyAlignment="1">
      <alignment horizontal="center"/>
    </xf>
    <xf numFmtId="0" fontId="5" fillId="20" borderId="12" xfId="0" applyFont="1" applyFill="1" applyBorder="1" applyAlignment="1">
      <alignment horizontal="center"/>
    </xf>
    <xf numFmtId="9" fontId="6" fillId="24" borderId="0" xfId="59" applyFont="1" applyFill="1" applyBorder="1" applyAlignment="1">
      <alignment horizontal="center"/>
    </xf>
    <xf numFmtId="0" fontId="5" fillId="24" borderId="13" xfId="0" applyFont="1" applyFill="1" applyBorder="1" applyAlignment="1">
      <alignment horizontal="center"/>
    </xf>
    <xf numFmtId="0" fontId="5" fillId="24" borderId="14" xfId="0" applyFont="1" applyFill="1" applyBorder="1" applyAlignment="1">
      <alignment horizontal="center"/>
    </xf>
    <xf numFmtId="9" fontId="6" fillId="24" borderId="15" xfId="59" applyFont="1" applyFill="1" applyBorder="1" applyAlignment="1">
      <alignment horizontal="center"/>
    </xf>
    <xf numFmtId="9" fontId="6" fillId="24" borderId="0" xfId="0" applyNumberFormat="1" applyFont="1" applyFill="1" applyAlignment="1">
      <alignment/>
    </xf>
    <xf numFmtId="0" fontId="28" fillId="24" borderId="0" xfId="0" applyFont="1" applyFill="1" applyAlignment="1">
      <alignment/>
    </xf>
    <xf numFmtId="0" fontId="5" fillId="24" borderId="0" xfId="0" applyFont="1" applyFill="1" applyBorder="1" applyAlignment="1">
      <alignment/>
    </xf>
    <xf numFmtId="9" fontId="6" fillId="24" borderId="16" xfId="59" applyNumberFormat="1" applyFont="1" applyFill="1" applyBorder="1" applyAlignment="1">
      <alignment horizontal="center"/>
    </xf>
    <xf numFmtId="9" fontId="6" fillId="24" borderId="17" xfId="59" applyNumberFormat="1" applyFont="1" applyFill="1" applyBorder="1" applyAlignment="1">
      <alignment horizontal="center"/>
    </xf>
    <xf numFmtId="0" fontId="29" fillId="24" borderId="0" xfId="0" applyFont="1" applyFill="1" applyAlignment="1">
      <alignment/>
    </xf>
    <xf numFmtId="171" fontId="5" fillId="24" borderId="0" xfId="0" applyNumberFormat="1" applyFont="1" applyFill="1" applyAlignment="1">
      <alignment/>
    </xf>
    <xf numFmtId="0" fontId="5" fillId="20" borderId="18" xfId="0" applyFont="1" applyFill="1" applyBorder="1" applyAlignment="1">
      <alignment horizontal="center"/>
    </xf>
    <xf numFmtId="170" fontId="6" fillId="24" borderId="19" xfId="59" applyNumberFormat="1" applyFont="1" applyFill="1" applyBorder="1" applyAlignment="1">
      <alignment horizontal="center"/>
    </xf>
    <xf numFmtId="170" fontId="6" fillId="24" borderId="0" xfId="59" applyNumberFormat="1" applyFont="1" applyFill="1" applyBorder="1" applyAlignment="1">
      <alignment horizontal="center"/>
    </xf>
    <xf numFmtId="170" fontId="6" fillId="24" borderId="15" xfId="59" applyNumberFormat="1" applyFont="1" applyFill="1" applyBorder="1" applyAlignment="1">
      <alignment horizontal="center"/>
    </xf>
    <xf numFmtId="0" fontId="1" fillId="20" borderId="10" xfId="0" applyFont="1" applyFill="1" applyBorder="1" applyAlignment="1">
      <alignment horizontal="center"/>
    </xf>
    <xf numFmtId="0" fontId="1" fillId="20" borderId="10" xfId="0" applyFont="1" applyFill="1" applyBorder="1" applyAlignment="1">
      <alignment horizontal="center"/>
    </xf>
    <xf numFmtId="170" fontId="6" fillId="24" borderId="20" xfId="59" applyNumberFormat="1" applyFont="1" applyFill="1" applyBorder="1" applyAlignment="1">
      <alignment horizontal="center"/>
    </xf>
    <xf numFmtId="170" fontId="6" fillId="24" borderId="21" xfId="59" applyNumberFormat="1" applyFont="1" applyFill="1" applyBorder="1" applyAlignment="1">
      <alignment horizontal="center"/>
    </xf>
    <xf numFmtId="170" fontId="6" fillId="24" borderId="13" xfId="59" applyNumberFormat="1" applyFont="1" applyFill="1" applyBorder="1" applyAlignment="1">
      <alignment horizontal="center"/>
    </xf>
    <xf numFmtId="170" fontId="6" fillId="24" borderId="16" xfId="59" applyNumberFormat="1" applyFont="1" applyFill="1" applyBorder="1" applyAlignment="1">
      <alignment horizontal="center"/>
    </xf>
    <xf numFmtId="170" fontId="6" fillId="24" borderId="14" xfId="59" applyNumberFormat="1" applyFont="1" applyFill="1" applyBorder="1" applyAlignment="1">
      <alignment horizontal="center"/>
    </xf>
    <xf numFmtId="170" fontId="6" fillId="24" borderId="17" xfId="59" applyNumberFormat="1" applyFont="1" applyFill="1" applyBorder="1" applyAlignment="1">
      <alignment horizontal="center"/>
    </xf>
    <xf numFmtId="0" fontId="1" fillId="20" borderId="12" xfId="0" applyFont="1" applyFill="1" applyBorder="1" applyAlignment="1">
      <alignment horizontal="center"/>
    </xf>
    <xf numFmtId="0" fontId="11" fillId="24" borderId="0" xfId="0" applyFont="1" applyFill="1" applyAlignment="1">
      <alignment horizontal="center"/>
    </xf>
    <xf numFmtId="0" fontId="6" fillId="24" borderId="0" xfId="0" applyFont="1" applyFill="1" applyAlignment="1">
      <alignment horizontal="left"/>
    </xf>
    <xf numFmtId="0" fontId="6" fillId="24" borderId="0" xfId="0" applyFont="1" applyFill="1" applyAlignment="1">
      <alignment/>
    </xf>
    <xf numFmtId="173" fontId="6" fillId="24" borderId="0" xfId="0" applyNumberFormat="1" applyFont="1" applyFill="1" applyAlignment="1">
      <alignment/>
    </xf>
    <xf numFmtId="0" fontId="5" fillId="24" borderId="22" xfId="0" applyFont="1" applyFill="1" applyBorder="1" applyAlignment="1">
      <alignment horizontal="center"/>
    </xf>
    <xf numFmtId="0" fontId="5" fillId="24" borderId="23" xfId="0" applyFont="1" applyFill="1" applyBorder="1" applyAlignment="1">
      <alignment horizontal="center"/>
    </xf>
    <xf numFmtId="11" fontId="6" fillId="24" borderId="0" xfId="0" applyNumberFormat="1" applyFont="1" applyFill="1" applyBorder="1" applyAlignment="1">
      <alignment/>
    </xf>
    <xf numFmtId="0" fontId="6" fillId="24" borderId="0" xfId="0" applyFont="1" applyFill="1" applyBorder="1" applyAlignment="1">
      <alignment horizontal="center"/>
    </xf>
    <xf numFmtId="0" fontId="6" fillId="20" borderId="24" xfId="0" applyFont="1" applyFill="1" applyBorder="1" applyAlignment="1">
      <alignment/>
    </xf>
    <xf numFmtId="0" fontId="6" fillId="20" borderId="22" xfId="0" applyFont="1" applyFill="1" applyBorder="1" applyAlignment="1">
      <alignment/>
    </xf>
    <xf numFmtId="0" fontId="6" fillId="20" borderId="23" xfId="0" applyFont="1" applyFill="1" applyBorder="1" applyAlignment="1">
      <alignment/>
    </xf>
    <xf numFmtId="0" fontId="12" fillId="24" borderId="0" xfId="0" applyFont="1" applyFill="1" applyAlignment="1">
      <alignment horizontal="left"/>
    </xf>
    <xf numFmtId="172" fontId="12" fillId="24" borderId="0" xfId="0" applyNumberFormat="1" applyFont="1" applyFill="1" applyAlignment="1">
      <alignment/>
    </xf>
    <xf numFmtId="0" fontId="0" fillId="24" borderId="0" xfId="0" applyNumberFormat="1" applyFill="1" applyAlignment="1">
      <alignment/>
    </xf>
    <xf numFmtId="0" fontId="5" fillId="24" borderId="0" xfId="0" applyFont="1" applyFill="1" applyAlignment="1">
      <alignment/>
    </xf>
    <xf numFmtId="0" fontId="6" fillId="20" borderId="20" xfId="0" applyFont="1" applyFill="1" applyBorder="1" applyAlignment="1">
      <alignment/>
    </xf>
    <xf numFmtId="0" fontId="6" fillId="20" borderId="13" xfId="0" applyFont="1" applyFill="1" applyBorder="1" applyAlignment="1">
      <alignment/>
    </xf>
    <xf numFmtId="0" fontId="6" fillId="20" borderId="14" xfId="0" applyFont="1" applyFill="1" applyBorder="1" applyAlignment="1">
      <alignment/>
    </xf>
    <xf numFmtId="11" fontId="1" fillId="24" borderId="0" xfId="0" applyNumberFormat="1" applyFont="1" applyFill="1" applyAlignment="1">
      <alignment horizontal="center"/>
    </xf>
    <xf numFmtId="11" fontId="0" fillId="24" borderId="0" xfId="0" applyNumberFormat="1" applyFont="1" applyFill="1" applyAlignment="1">
      <alignment/>
    </xf>
    <xf numFmtId="0" fontId="6" fillId="24" borderId="0" xfId="0" applyFont="1" applyFill="1" applyBorder="1" applyAlignment="1">
      <alignment horizontal="left"/>
    </xf>
    <xf numFmtId="0" fontId="17" fillId="20" borderId="23" xfId="0" applyFont="1" applyFill="1" applyBorder="1" applyAlignment="1">
      <alignment/>
    </xf>
    <xf numFmtId="0" fontId="17" fillId="20" borderId="24" xfId="0" applyFont="1" applyFill="1" applyBorder="1" applyAlignment="1">
      <alignment/>
    </xf>
    <xf numFmtId="0" fontId="5" fillId="24" borderId="0" xfId="0" applyFont="1" applyFill="1" applyBorder="1" applyAlignment="1">
      <alignment horizontal="right"/>
    </xf>
    <xf numFmtId="9" fontId="6" fillId="24" borderId="16" xfId="59" applyFont="1" applyFill="1" applyBorder="1" applyAlignment="1">
      <alignment horizontal="center"/>
    </xf>
    <xf numFmtId="9" fontId="6" fillId="24" borderId="17" xfId="59" applyFont="1" applyFill="1" applyBorder="1" applyAlignment="1">
      <alignment horizontal="center"/>
    </xf>
    <xf numFmtId="0" fontId="5" fillId="20" borderId="18" xfId="0" applyNumberFormat="1" applyFont="1" applyFill="1" applyBorder="1" applyAlignment="1">
      <alignment horizontal="center"/>
    </xf>
    <xf numFmtId="0" fontId="5" fillId="24" borderId="22" xfId="59" applyNumberFormat="1" applyFont="1" applyFill="1" applyBorder="1" applyAlignment="1">
      <alignment horizontal="center"/>
    </xf>
    <xf numFmtId="0" fontId="5" fillId="24" borderId="23" xfId="59" applyNumberFormat="1" applyFont="1" applyFill="1" applyBorder="1" applyAlignment="1">
      <alignment horizontal="center"/>
    </xf>
    <xf numFmtId="0" fontId="6" fillId="20" borderId="18" xfId="0" applyFont="1" applyFill="1" applyBorder="1" applyAlignment="1">
      <alignment/>
    </xf>
    <xf numFmtId="0" fontId="6" fillId="24" borderId="10" xfId="0" applyFont="1" applyFill="1" applyBorder="1" applyAlignment="1">
      <alignment/>
    </xf>
    <xf numFmtId="0" fontId="6" fillId="24" borderId="12" xfId="0" applyFont="1" applyFill="1" applyBorder="1" applyAlignment="1">
      <alignment/>
    </xf>
    <xf numFmtId="9" fontId="6" fillId="24" borderId="0" xfId="0" applyNumberFormat="1" applyFont="1" applyFill="1" applyBorder="1" applyAlignment="1">
      <alignment/>
    </xf>
    <xf numFmtId="0" fontId="6" fillId="24" borderId="0" xfId="0" applyNumberFormat="1" applyFont="1" applyFill="1" applyAlignment="1">
      <alignment/>
    </xf>
    <xf numFmtId="175" fontId="6" fillId="24" borderId="0" xfId="59" applyNumberFormat="1" applyFont="1" applyFill="1" applyBorder="1" applyAlignment="1">
      <alignment horizontal="center"/>
    </xf>
    <xf numFmtId="0" fontId="0" fillId="24" borderId="0" xfId="0" applyFill="1" applyAlignment="1" applyProtection="1">
      <alignment horizontal="left"/>
      <protection hidden="1"/>
    </xf>
    <xf numFmtId="0" fontId="0" fillId="24" borderId="0" xfId="0" applyFill="1" applyAlignment="1" applyProtection="1">
      <alignment/>
      <protection hidden="1"/>
    </xf>
    <xf numFmtId="0" fontId="0" fillId="24" borderId="0" xfId="0" applyFill="1" applyAlignment="1" applyProtection="1">
      <alignment horizontal="center"/>
      <protection hidden="1"/>
    </xf>
    <xf numFmtId="0" fontId="0" fillId="24" borderId="0" xfId="0" applyFill="1" applyBorder="1" applyAlignment="1" applyProtection="1">
      <alignment horizontal="center"/>
      <protection hidden="1"/>
    </xf>
    <xf numFmtId="0" fontId="0" fillId="24" borderId="0" xfId="0" applyFill="1" applyAlignment="1" applyProtection="1" quotePrefix="1">
      <alignment/>
      <protection hidden="1"/>
    </xf>
    <xf numFmtId="0" fontId="28" fillId="24" borderId="0" xfId="0" applyFont="1" applyFill="1" applyAlignment="1" applyProtection="1">
      <alignment horizontal="center"/>
      <protection hidden="1"/>
    </xf>
    <xf numFmtId="0" fontId="1" fillId="24" borderId="0" xfId="0" applyFont="1" applyFill="1" applyAlignment="1" applyProtection="1">
      <alignment horizontal="left"/>
      <protection hidden="1"/>
    </xf>
    <xf numFmtId="0" fontId="23" fillId="24" borderId="0" xfId="0" applyFont="1" applyFill="1" applyAlignment="1" applyProtection="1">
      <alignment/>
      <protection hidden="1"/>
    </xf>
    <xf numFmtId="0" fontId="1" fillId="24" borderId="0" xfId="0" applyFont="1" applyFill="1" applyAlignment="1" applyProtection="1">
      <alignment/>
      <protection hidden="1"/>
    </xf>
    <xf numFmtId="2" fontId="6" fillId="24" borderId="0" xfId="0" applyNumberFormat="1" applyFont="1" applyFill="1" applyAlignment="1" applyProtection="1">
      <alignment/>
      <protection hidden="1"/>
    </xf>
    <xf numFmtId="0" fontId="29" fillId="24" borderId="0" xfId="0" applyFont="1" applyFill="1" applyAlignment="1" applyProtection="1">
      <alignment horizontal="left"/>
      <protection hidden="1"/>
    </xf>
    <xf numFmtId="0" fontId="20" fillId="24" borderId="0" xfId="0" applyFont="1" applyFill="1" applyAlignment="1" applyProtection="1">
      <alignment/>
      <protection hidden="1"/>
    </xf>
    <xf numFmtId="0" fontId="6" fillId="24" borderId="0" xfId="0" applyFont="1" applyFill="1" applyAlignment="1" applyProtection="1">
      <alignment/>
      <protection hidden="1"/>
    </xf>
    <xf numFmtId="11" fontId="5" fillId="24" borderId="0" xfId="0" applyNumberFormat="1" applyFont="1" applyFill="1" applyBorder="1" applyAlignment="1" applyProtection="1">
      <alignment horizontal="center"/>
      <protection hidden="1"/>
    </xf>
    <xf numFmtId="0" fontId="5" fillId="24" borderId="0" xfId="0" applyFont="1" applyFill="1" applyAlignment="1" applyProtection="1">
      <alignment horizontal="right"/>
      <protection hidden="1"/>
    </xf>
    <xf numFmtId="0" fontId="1" fillId="24" borderId="0" xfId="0" applyFont="1" applyFill="1" applyAlignment="1" applyProtection="1">
      <alignment horizontal="center"/>
      <protection hidden="1"/>
    </xf>
    <xf numFmtId="0" fontId="5" fillId="24" borderId="0" xfId="0" applyFont="1" applyFill="1" applyAlignment="1" applyProtection="1">
      <alignment horizontal="left"/>
      <protection hidden="1"/>
    </xf>
    <xf numFmtId="2" fontId="5" fillId="24" borderId="0" xfId="0" applyNumberFormat="1" applyFont="1" applyFill="1" applyBorder="1" applyAlignment="1" applyProtection="1">
      <alignment horizontal="center"/>
      <protection hidden="1"/>
    </xf>
    <xf numFmtId="0" fontId="0" fillId="24" borderId="0" xfId="0" applyNumberFormat="1" applyFill="1" applyAlignment="1" applyProtection="1">
      <alignment horizontal="center"/>
      <protection hidden="1"/>
    </xf>
    <xf numFmtId="11" fontId="0" fillId="24" borderId="0" xfId="0" applyNumberFormat="1" applyFill="1" applyAlignment="1" applyProtection="1">
      <alignment horizontal="center"/>
      <protection hidden="1"/>
    </xf>
    <xf numFmtId="0" fontId="5" fillId="24" borderId="0" xfId="0" applyFont="1" applyFill="1" applyAlignment="1" applyProtection="1">
      <alignment horizontal="left"/>
      <protection hidden="1"/>
    </xf>
    <xf numFmtId="0" fontId="6" fillId="24" borderId="0" xfId="0" applyFont="1" applyFill="1" applyAlignment="1" applyProtection="1">
      <alignment horizontal="center"/>
      <protection hidden="1"/>
    </xf>
    <xf numFmtId="0" fontId="23" fillId="24" borderId="0" xfId="0" applyFont="1" applyFill="1" applyAlignment="1" applyProtection="1">
      <alignment horizontal="left"/>
      <protection hidden="1"/>
    </xf>
    <xf numFmtId="0" fontId="5" fillId="24" borderId="0" xfId="0" applyFont="1" applyFill="1" applyBorder="1" applyAlignment="1" applyProtection="1">
      <alignment horizontal="center"/>
      <protection hidden="1"/>
    </xf>
    <xf numFmtId="11" fontId="6" fillId="24" borderId="0" xfId="0" applyNumberFormat="1" applyFont="1" applyFill="1" applyAlignment="1" applyProtection="1">
      <alignment/>
      <protection hidden="1"/>
    </xf>
    <xf numFmtId="2" fontId="23" fillId="24" borderId="0" xfId="0" applyNumberFormat="1" applyFont="1" applyFill="1" applyBorder="1" applyAlignment="1" applyProtection="1">
      <alignment horizontal="center"/>
      <protection hidden="1"/>
    </xf>
    <xf numFmtId="0" fontId="5" fillId="24" borderId="0" xfId="0" applyFont="1" applyFill="1" applyAlignment="1" applyProtection="1">
      <alignment horizontal="center"/>
      <protection hidden="1"/>
    </xf>
    <xf numFmtId="0" fontId="5" fillId="24" borderId="0" xfId="0" applyFont="1" applyFill="1" applyAlignment="1" applyProtection="1">
      <alignment/>
      <protection hidden="1"/>
    </xf>
    <xf numFmtId="0" fontId="20" fillId="25" borderId="25" xfId="0" applyNumberFormat="1" applyFont="1" applyFill="1" applyBorder="1" applyAlignment="1" applyProtection="1">
      <alignment horizontal="center"/>
      <protection hidden="1"/>
    </xf>
    <xf numFmtId="0" fontId="20" fillId="24" borderId="0" xfId="0" applyFont="1" applyFill="1" applyAlignment="1" applyProtection="1">
      <alignment horizontal="left"/>
      <protection hidden="1"/>
    </xf>
    <xf numFmtId="0" fontId="20" fillId="24" borderId="0" xfId="0" applyFont="1" applyFill="1" applyAlignment="1" applyProtection="1">
      <alignment horizontal="center"/>
      <protection hidden="1"/>
    </xf>
    <xf numFmtId="0" fontId="5" fillId="24" borderId="0" xfId="0" applyFont="1" applyFill="1" applyBorder="1" applyAlignment="1" applyProtection="1">
      <alignment/>
      <protection hidden="1"/>
    </xf>
    <xf numFmtId="168" fontId="5" fillId="24" borderId="0" xfId="0" applyNumberFormat="1" applyFont="1" applyFill="1" applyBorder="1" applyAlignment="1" applyProtection="1">
      <alignment horizontal="left"/>
      <protection hidden="1"/>
    </xf>
    <xf numFmtId="0" fontId="24" fillId="24" borderId="0" xfId="0" applyFont="1" applyFill="1" applyAlignment="1" applyProtection="1">
      <alignment horizontal="left"/>
      <protection hidden="1"/>
    </xf>
    <xf numFmtId="0" fontId="24" fillId="24" borderId="0" xfId="0" applyFont="1" applyFill="1" applyAlignment="1" applyProtection="1">
      <alignment/>
      <protection hidden="1"/>
    </xf>
    <xf numFmtId="0" fontId="31" fillId="24" borderId="0" xfId="0" applyFont="1" applyFill="1" applyAlignment="1" applyProtection="1">
      <alignment horizontal="left"/>
      <protection hidden="1"/>
    </xf>
    <xf numFmtId="0" fontId="25" fillId="24" borderId="0" xfId="0" applyFont="1" applyFill="1" applyAlignment="1" applyProtection="1">
      <alignment/>
      <protection hidden="1"/>
    </xf>
    <xf numFmtId="0" fontId="25" fillId="24" borderId="0" xfId="0" applyFont="1" applyFill="1" applyBorder="1" applyAlignment="1" applyProtection="1">
      <alignment/>
      <protection hidden="1"/>
    </xf>
    <xf numFmtId="0" fontId="32" fillId="24" borderId="0" xfId="0" applyFont="1" applyFill="1" applyAlignment="1" applyProtection="1">
      <alignment/>
      <protection hidden="1"/>
    </xf>
    <xf numFmtId="0" fontId="32" fillId="24" borderId="0" xfId="0" applyFont="1" applyFill="1" applyBorder="1" applyAlignment="1" applyProtection="1">
      <alignment/>
      <protection hidden="1"/>
    </xf>
    <xf numFmtId="11" fontId="26" fillId="24" borderId="0" xfId="0" applyNumberFormat="1" applyFont="1" applyFill="1" applyAlignment="1" applyProtection="1">
      <alignment/>
      <protection hidden="1"/>
    </xf>
    <xf numFmtId="0" fontId="26" fillId="24" borderId="0" xfId="0" applyFont="1" applyFill="1" applyBorder="1" applyAlignment="1" applyProtection="1">
      <alignment/>
      <protection hidden="1"/>
    </xf>
    <xf numFmtId="0" fontId="23" fillId="24" borderId="0" xfId="0" applyFont="1" applyFill="1" applyBorder="1" applyAlignment="1" applyProtection="1">
      <alignment/>
      <protection hidden="1"/>
    </xf>
    <xf numFmtId="0" fontId="24" fillId="24" borderId="0" xfId="0" applyFont="1" applyFill="1" applyAlignment="1" applyProtection="1">
      <alignment horizontal="center"/>
      <protection hidden="1"/>
    </xf>
    <xf numFmtId="0" fontId="5" fillId="24" borderId="0" xfId="0" applyFont="1" applyFill="1" applyBorder="1" applyAlignment="1" applyProtection="1">
      <alignment horizontal="left"/>
      <protection hidden="1"/>
    </xf>
    <xf numFmtId="11" fontId="20" fillId="25" borderId="26" xfId="0" applyNumberFormat="1" applyFont="1" applyFill="1" applyBorder="1" applyAlignment="1" applyProtection="1">
      <alignment horizontal="center"/>
      <protection hidden="1"/>
    </xf>
    <xf numFmtId="0" fontId="33" fillId="24" borderId="0" xfId="0" applyFont="1" applyFill="1" applyBorder="1" applyAlignment="1" applyProtection="1">
      <alignment horizontal="center"/>
      <protection hidden="1"/>
    </xf>
    <xf numFmtId="0" fontId="33" fillId="24" borderId="0" xfId="0" applyFont="1" applyFill="1" applyAlignment="1" applyProtection="1">
      <alignment horizontal="center"/>
      <protection hidden="1"/>
    </xf>
    <xf numFmtId="0" fontId="25" fillId="24" borderId="0" xfId="0" applyNumberFormat="1" applyFont="1" applyFill="1" applyAlignment="1" applyProtection="1">
      <alignment horizontal="left"/>
      <protection hidden="1"/>
    </xf>
    <xf numFmtId="0" fontId="25" fillId="24" borderId="0" xfId="0" applyNumberFormat="1" applyFont="1" applyFill="1" applyAlignment="1" applyProtection="1">
      <alignment horizontal="right"/>
      <protection hidden="1"/>
    </xf>
    <xf numFmtId="2" fontId="5" fillId="24" borderId="0" xfId="0" applyNumberFormat="1" applyFont="1" applyFill="1" applyAlignment="1" applyProtection="1">
      <alignment horizontal="center"/>
      <protection hidden="1"/>
    </xf>
    <xf numFmtId="11" fontId="6" fillId="24" borderId="0" xfId="0" applyNumberFormat="1" applyFont="1" applyFill="1" applyBorder="1" applyAlignment="1" applyProtection="1">
      <alignment horizontal="center"/>
      <protection hidden="1"/>
    </xf>
    <xf numFmtId="171" fontId="6" fillId="24" borderId="0" xfId="0" applyNumberFormat="1" applyFont="1" applyFill="1" applyAlignment="1" applyProtection="1">
      <alignment horizontal="center"/>
      <protection hidden="1"/>
    </xf>
    <xf numFmtId="0" fontId="23" fillId="24" borderId="0" xfId="0" applyFont="1" applyFill="1" applyAlignment="1" applyProtection="1">
      <alignment horizontal="right"/>
      <protection hidden="1"/>
    </xf>
    <xf numFmtId="168" fontId="5" fillId="24" borderId="0" xfId="0" applyNumberFormat="1" applyFont="1" applyFill="1" applyAlignment="1" applyProtection="1">
      <alignment horizontal="center"/>
      <protection hidden="1"/>
    </xf>
    <xf numFmtId="11" fontId="5" fillId="24" borderId="0" xfId="0" applyNumberFormat="1" applyFont="1" applyFill="1" applyAlignment="1" applyProtection="1">
      <alignment/>
      <protection hidden="1"/>
    </xf>
    <xf numFmtId="0" fontId="5" fillId="24" borderId="0" xfId="0" applyFont="1" applyFill="1" applyAlignment="1" applyProtection="1" quotePrefix="1">
      <alignment horizontal="center"/>
      <protection hidden="1"/>
    </xf>
    <xf numFmtId="168" fontId="5" fillId="24" borderId="0" xfId="0" applyNumberFormat="1" applyFont="1" applyFill="1" applyBorder="1" applyAlignment="1" applyProtection="1">
      <alignment horizontal="center"/>
      <protection hidden="1"/>
    </xf>
    <xf numFmtId="174" fontId="6" fillId="24" borderId="0" xfId="59" applyNumberFormat="1" applyFont="1" applyFill="1" applyBorder="1" applyAlignment="1" applyProtection="1">
      <alignment horizontal="center"/>
      <protection hidden="1"/>
    </xf>
    <xf numFmtId="2" fontId="6" fillId="24" borderId="0" xfId="0" applyNumberFormat="1" applyFont="1" applyFill="1" applyAlignment="1" applyProtection="1">
      <alignment horizontal="center"/>
      <protection hidden="1"/>
    </xf>
    <xf numFmtId="11" fontId="0" fillId="24" borderId="0" xfId="0" applyNumberFormat="1" applyFill="1" applyAlignment="1" applyProtection="1">
      <alignment/>
      <protection hidden="1"/>
    </xf>
    <xf numFmtId="2" fontId="0" fillId="8" borderId="27" xfId="59" applyNumberFormat="1" applyFont="1" applyFill="1" applyBorder="1" applyAlignment="1" applyProtection="1">
      <alignment horizontal="center"/>
      <protection hidden="1" locked="0"/>
    </xf>
    <xf numFmtId="2" fontId="0" fillId="8" borderId="26" xfId="59" applyNumberFormat="1" applyFont="1" applyFill="1" applyBorder="1" applyAlignment="1" applyProtection="1">
      <alignment horizontal="center"/>
      <protection hidden="1" locked="0"/>
    </xf>
    <xf numFmtId="2" fontId="0" fillId="8" borderId="28" xfId="59" applyNumberFormat="1" applyFont="1" applyFill="1" applyBorder="1" applyAlignment="1" applyProtection="1">
      <alignment horizontal="center"/>
      <protection hidden="1" locked="0"/>
    </xf>
    <xf numFmtId="0" fontId="1" fillId="24" borderId="0" xfId="0" applyFont="1" applyFill="1" applyAlignment="1" applyProtection="1">
      <alignment horizontal="right"/>
      <protection hidden="1"/>
    </xf>
    <xf numFmtId="4" fontId="20" fillId="25" borderId="25" xfId="0" applyNumberFormat="1" applyFont="1" applyFill="1" applyBorder="1" applyAlignment="1" applyProtection="1">
      <alignment horizontal="center"/>
      <protection hidden="1"/>
    </xf>
    <xf numFmtId="4" fontId="5" fillId="25" borderId="27" xfId="0" applyNumberFormat="1" applyFont="1" applyFill="1" applyBorder="1" applyAlignment="1" applyProtection="1">
      <alignment horizontal="center"/>
      <protection hidden="1"/>
    </xf>
    <xf numFmtId="4" fontId="5" fillId="25" borderId="26" xfId="0" applyNumberFormat="1" applyFont="1" applyFill="1" applyBorder="1" applyAlignment="1" applyProtection="1">
      <alignment horizontal="center"/>
      <protection hidden="1"/>
    </xf>
    <xf numFmtId="4" fontId="5" fillId="25" borderId="28" xfId="0" applyNumberFormat="1" applyFont="1" applyFill="1" applyBorder="1" applyAlignment="1" applyProtection="1">
      <alignment horizontal="center"/>
      <protection hidden="1"/>
    </xf>
    <xf numFmtId="4" fontId="20" fillId="25" borderId="27" xfId="0" applyNumberFormat="1" applyFont="1" applyFill="1" applyBorder="1" applyAlignment="1" applyProtection="1">
      <alignment horizontal="center"/>
      <protection hidden="1"/>
    </xf>
    <xf numFmtId="4" fontId="20" fillId="25" borderId="28" xfId="0" applyNumberFormat="1" applyFont="1" applyFill="1" applyBorder="1" applyAlignment="1" applyProtection="1">
      <alignment horizontal="center"/>
      <protection hidden="1"/>
    </xf>
    <xf numFmtId="0" fontId="33" fillId="8" borderId="25" xfId="0" applyNumberFormat="1" applyFont="1" applyFill="1" applyBorder="1" applyAlignment="1" applyProtection="1">
      <alignment horizontal="center"/>
      <protection hidden="1" locked="0"/>
    </xf>
    <xf numFmtId="0" fontId="5" fillId="8" borderId="25" xfId="0" applyFont="1" applyFill="1" applyBorder="1" applyAlignment="1" applyProtection="1">
      <alignment horizontal="center"/>
      <protection hidden="1" locked="0"/>
    </xf>
    <xf numFmtId="0" fontId="5" fillId="8" borderId="25" xfId="0" applyNumberFormat="1" applyFont="1" applyFill="1" applyBorder="1" applyAlignment="1" applyProtection="1">
      <alignment horizontal="center"/>
      <protection hidden="1" locked="0"/>
    </xf>
    <xf numFmtId="4" fontId="5" fillId="8" borderId="25" xfId="0" applyNumberFormat="1" applyFont="1" applyFill="1" applyBorder="1" applyAlignment="1" applyProtection="1">
      <alignment horizontal="center"/>
      <protection hidden="1" locked="0"/>
    </xf>
    <xf numFmtId="0" fontId="5" fillId="8" borderId="25" xfId="0" applyFont="1" applyFill="1" applyBorder="1" applyAlignment="1" applyProtection="1">
      <alignment horizontal="center"/>
      <protection hidden="1" locked="0"/>
    </xf>
    <xf numFmtId="0" fontId="20" fillId="24" borderId="0" xfId="0" applyFont="1" applyFill="1" applyAlignment="1" applyProtection="1">
      <alignment horizontal="right"/>
      <protection hidden="1"/>
    </xf>
    <xf numFmtId="0" fontId="23" fillId="24" borderId="0" xfId="0" applyFont="1" applyFill="1" applyAlignment="1" applyProtection="1">
      <alignment/>
      <protection hidden="1"/>
    </xf>
    <xf numFmtId="0" fontId="23" fillId="24" borderId="0" xfId="0" applyFont="1" applyFill="1" applyAlignment="1" applyProtection="1">
      <alignment horizontal="left"/>
      <protection hidden="1"/>
    </xf>
    <xf numFmtId="0" fontId="24" fillId="24" borderId="0" xfId="0" applyFont="1" applyFill="1" applyAlignment="1" applyProtection="1">
      <alignment horizontal="center"/>
      <protection hidden="1"/>
    </xf>
    <xf numFmtId="0" fontId="24" fillId="24" borderId="0" xfId="0" applyFont="1" applyFill="1" applyAlignment="1" applyProtection="1">
      <alignment/>
      <protection hidden="1"/>
    </xf>
    <xf numFmtId="0" fontId="1" fillId="24" borderId="0" xfId="0" applyFont="1" applyFill="1" applyAlignment="1" applyProtection="1">
      <alignment horizontal="center"/>
      <protection hidden="1"/>
    </xf>
    <xf numFmtId="0" fontId="34" fillId="24" borderId="0" xfId="0" applyFont="1" applyFill="1" applyAlignment="1" applyProtection="1">
      <alignment horizontal="left"/>
      <protection hidden="1"/>
    </xf>
    <xf numFmtId="0" fontId="0" fillId="24" borderId="0" xfId="0" applyFont="1" applyFill="1" applyAlignment="1" applyProtection="1">
      <alignment/>
      <protection hidden="1"/>
    </xf>
    <xf numFmtId="0" fontId="1" fillId="24" borderId="0" xfId="0" applyFont="1" applyFill="1" applyAlignment="1" applyProtection="1">
      <alignment/>
      <protection hidden="1"/>
    </xf>
    <xf numFmtId="0" fontId="28" fillId="24" borderId="0" xfId="0" applyFont="1" applyFill="1" applyAlignment="1" applyProtection="1">
      <alignment horizontal="left"/>
      <protection hidden="1"/>
    </xf>
    <xf numFmtId="0" fontId="23" fillId="24" borderId="0" xfId="0" applyFont="1" applyFill="1" applyAlignment="1" applyProtection="1">
      <alignment horizontal="right"/>
      <protection hidden="1"/>
    </xf>
    <xf numFmtId="0" fontId="0" fillId="8" borderId="24" xfId="0" applyNumberFormat="1" applyFill="1" applyBorder="1" applyAlignment="1">
      <alignment horizontal="center"/>
    </xf>
    <xf numFmtId="1" fontId="0" fillId="8" borderId="22" xfId="0" applyNumberFormat="1" applyFill="1" applyBorder="1" applyAlignment="1">
      <alignment horizontal="center"/>
    </xf>
    <xf numFmtId="1" fontId="0" fillId="8" borderId="23" xfId="0" applyNumberFormat="1" applyFill="1" applyBorder="1" applyAlignment="1">
      <alignment horizontal="center"/>
    </xf>
    <xf numFmtId="1" fontId="0" fillId="8" borderId="24" xfId="0" applyNumberFormat="1" applyFill="1" applyBorder="1" applyAlignment="1">
      <alignment horizontal="center"/>
    </xf>
    <xf numFmtId="1" fontId="0" fillId="8" borderId="18" xfId="0" applyNumberFormat="1" applyFill="1" applyBorder="1" applyAlignment="1">
      <alignment horizontal="center"/>
    </xf>
    <xf numFmtId="9" fontId="6" fillId="11" borderId="22" xfId="59" applyFont="1" applyFill="1" applyBorder="1" applyAlignment="1">
      <alignment horizontal="center"/>
    </xf>
    <xf numFmtId="9" fontId="6" fillId="11" borderId="23" xfId="59" applyFont="1" applyFill="1" applyBorder="1" applyAlignment="1">
      <alignment horizontal="center"/>
    </xf>
    <xf numFmtId="0" fontId="6" fillId="25" borderId="21" xfId="0" applyNumberFormat="1" applyFont="1" applyFill="1" applyBorder="1" applyAlignment="1">
      <alignment/>
    </xf>
    <xf numFmtId="0" fontId="6" fillId="25" borderId="16" xfId="0" applyNumberFormat="1" applyFont="1" applyFill="1" applyBorder="1" applyAlignment="1">
      <alignment/>
    </xf>
    <xf numFmtId="0" fontId="6" fillId="25" borderId="16" xfId="0" applyFont="1" applyFill="1" applyBorder="1" applyAlignment="1">
      <alignment/>
    </xf>
    <xf numFmtId="0" fontId="6" fillId="25" borderId="17" xfId="0" applyFont="1" applyFill="1" applyBorder="1" applyAlignment="1">
      <alignment/>
    </xf>
    <xf numFmtId="9" fontId="6" fillId="25" borderId="16" xfId="0" applyNumberFormat="1" applyFont="1" applyFill="1" applyBorder="1" applyAlignment="1">
      <alignment/>
    </xf>
    <xf numFmtId="11" fontId="6" fillId="25" borderId="16" xfId="0" applyNumberFormat="1" applyFont="1" applyFill="1" applyBorder="1" applyAlignment="1">
      <alignment/>
    </xf>
    <xf numFmtId="11" fontId="6" fillId="25" borderId="17" xfId="0" applyNumberFormat="1" applyFont="1" applyFill="1" applyBorder="1" applyAlignment="1">
      <alignment/>
    </xf>
    <xf numFmtId="0" fontId="6" fillId="25" borderId="21" xfId="0" applyFont="1" applyFill="1" applyBorder="1" applyAlignment="1">
      <alignment/>
    </xf>
    <xf numFmtId="9" fontId="6" fillId="10" borderId="16" xfId="59" applyFont="1" applyFill="1" applyBorder="1" applyAlignment="1">
      <alignment horizontal="center"/>
    </xf>
    <xf numFmtId="9" fontId="6" fillId="10" borderId="17" xfId="59" applyFont="1" applyFill="1" applyBorder="1" applyAlignment="1">
      <alignment horizontal="center"/>
    </xf>
    <xf numFmtId="0" fontId="5" fillId="8" borderId="25" xfId="0" applyNumberFormat="1" applyFont="1" applyFill="1" applyBorder="1" applyAlignment="1" applyProtection="1">
      <alignment horizontal="center"/>
      <protection hidden="1" locked="0"/>
    </xf>
    <xf numFmtId="0" fontId="30" fillId="24" borderId="0" xfId="0" applyFont="1" applyFill="1" applyAlignment="1">
      <alignment/>
    </xf>
    <xf numFmtId="0" fontId="34" fillId="24" borderId="0" xfId="0" applyFont="1" applyFill="1" applyAlignment="1">
      <alignment/>
    </xf>
    <xf numFmtId="171" fontId="30" fillId="24" borderId="0" xfId="0" applyNumberFormat="1" applyFont="1" applyFill="1" applyAlignment="1">
      <alignment/>
    </xf>
    <xf numFmtId="180" fontId="30" fillId="24" borderId="0" xfId="0" applyNumberFormat="1" applyFont="1" applyFill="1" applyAlignment="1">
      <alignment/>
    </xf>
    <xf numFmtId="181" fontId="30" fillId="24" borderId="0" xfId="0" applyNumberFormat="1" applyFont="1" applyFill="1" applyAlignment="1">
      <alignment/>
    </xf>
    <xf numFmtId="0" fontId="1" fillId="24" borderId="0" xfId="0" applyFont="1" applyFill="1" applyAlignment="1" applyProtection="1">
      <alignment horizontal="left"/>
      <protection hidden="1"/>
    </xf>
    <xf numFmtId="1" fontId="30" fillId="24" borderId="0" xfId="0" applyNumberFormat="1" applyFont="1" applyFill="1" applyAlignment="1">
      <alignment/>
    </xf>
    <xf numFmtId="0" fontId="60" fillId="24" borderId="0" xfId="0" applyFont="1" applyFill="1" applyAlignment="1">
      <alignment/>
    </xf>
    <xf numFmtId="9" fontId="6" fillId="24" borderId="0" xfId="59" applyFont="1" applyFill="1" applyBorder="1" applyAlignment="1">
      <alignment horizontal="center"/>
    </xf>
    <xf numFmtId="11" fontId="0" fillId="11" borderId="18" xfId="0" applyNumberFormat="1" applyFont="1" applyFill="1" applyBorder="1" applyAlignment="1">
      <alignment horizontal="center"/>
    </xf>
    <xf numFmtId="11" fontId="34" fillId="24" borderId="0" xfId="0" applyNumberFormat="1" applyFont="1" applyFill="1" applyBorder="1" applyAlignment="1">
      <alignment horizontal="right"/>
    </xf>
    <xf numFmtId="0" fontId="30" fillId="24" borderId="0" xfId="0" applyFont="1" applyFill="1" applyAlignment="1">
      <alignment horizontal="right"/>
    </xf>
    <xf numFmtId="0" fontId="29" fillId="24" borderId="0" xfId="0" applyFont="1" applyFill="1" applyAlignment="1">
      <alignment horizontal="right"/>
    </xf>
    <xf numFmtId="0" fontId="5" fillId="20" borderId="10" xfId="0" applyFont="1" applyFill="1" applyBorder="1" applyAlignment="1">
      <alignment horizontal="center"/>
    </xf>
    <xf numFmtId="0" fontId="5" fillId="24" borderId="0" xfId="0" applyFont="1" applyFill="1" applyAlignment="1">
      <alignment/>
    </xf>
    <xf numFmtId="2" fontId="0" fillId="8" borderId="29" xfId="59" applyNumberFormat="1" applyFont="1" applyFill="1" applyBorder="1" applyAlignment="1" applyProtection="1">
      <alignment horizontal="center"/>
      <protection hidden="1" locked="0"/>
    </xf>
    <xf numFmtId="2" fontId="0" fillId="24" borderId="0" xfId="0" applyNumberFormat="1" applyFill="1" applyAlignment="1" applyProtection="1">
      <alignment/>
      <protection hidden="1"/>
    </xf>
    <xf numFmtId="0" fontId="5" fillId="24" borderId="0" xfId="0" applyFont="1" applyFill="1" applyAlignment="1" applyProtection="1">
      <alignment horizontal="right"/>
      <protection hidden="1"/>
    </xf>
    <xf numFmtId="0" fontId="5" fillId="24" borderId="0" xfId="0" applyFont="1" applyFill="1" applyBorder="1" applyAlignment="1" applyProtection="1">
      <alignment horizontal="right"/>
      <protection hidden="1"/>
    </xf>
    <xf numFmtId="0" fontId="5" fillId="24" borderId="0" xfId="0" applyFont="1" applyFill="1" applyBorder="1" applyAlignment="1" applyProtection="1">
      <alignment horizontal="left"/>
      <protection hidden="1"/>
    </xf>
    <xf numFmtId="0" fontId="44" fillId="24" borderId="0" xfId="0" applyFont="1" applyFill="1" applyAlignment="1" applyProtection="1">
      <alignment/>
      <protection hidden="1"/>
    </xf>
    <xf numFmtId="0" fontId="20" fillId="24" borderId="0" xfId="0" applyFont="1" applyFill="1" applyAlignment="1" applyProtection="1">
      <alignment/>
      <protection hidden="1"/>
    </xf>
    <xf numFmtId="0" fontId="20" fillId="24" borderId="0" xfId="0" applyFont="1" applyFill="1" applyAlignment="1" applyProtection="1">
      <alignment horizontal="left"/>
      <protection hidden="1"/>
    </xf>
    <xf numFmtId="0" fontId="5" fillId="24" borderId="0" xfId="0" applyFont="1" applyFill="1" applyAlignment="1" applyProtection="1">
      <alignment/>
      <protection hidden="1"/>
    </xf>
    <xf numFmtId="0" fontId="61" fillId="24" borderId="0" xfId="0" applyFont="1" applyFill="1" applyAlignment="1" applyProtection="1">
      <alignment horizontal="center"/>
      <protection hidden="1"/>
    </xf>
    <xf numFmtId="0" fontId="6" fillId="24" borderId="0" xfId="0" applyFont="1" applyFill="1" applyAlignment="1" applyProtection="1">
      <alignment/>
      <protection hidden="1"/>
    </xf>
    <xf numFmtId="9" fontId="6" fillId="24" borderId="0" xfId="59" applyNumberFormat="1" applyFont="1" applyFill="1" applyBorder="1" applyAlignment="1">
      <alignment horizontal="center"/>
    </xf>
    <xf numFmtId="9" fontId="6" fillId="8" borderId="22" xfId="59" applyNumberFormat="1" applyFont="1" applyFill="1" applyBorder="1" applyAlignment="1">
      <alignment horizontal="center"/>
    </xf>
    <xf numFmtId="9" fontId="6" fillId="24" borderId="15" xfId="59" applyNumberFormat="1" applyFont="1" applyFill="1" applyBorder="1" applyAlignment="1">
      <alignment horizontal="center"/>
    </xf>
    <xf numFmtId="9" fontId="6" fillId="8" borderId="23" xfId="59" applyNumberFormat="1" applyFont="1" applyFill="1" applyBorder="1" applyAlignment="1">
      <alignment horizontal="center"/>
    </xf>
    <xf numFmtId="0" fontId="34" fillId="24" borderId="0" xfId="0" applyFont="1" applyFill="1" applyAlignment="1">
      <alignment horizontal="right"/>
    </xf>
    <xf numFmtId="168" fontId="30" fillId="24" borderId="0" xfId="0" applyNumberFormat="1" applyFont="1" applyFill="1" applyAlignment="1">
      <alignment/>
    </xf>
    <xf numFmtId="2" fontId="30" fillId="24" borderId="0" xfId="0" applyNumberFormat="1" applyFont="1" applyFill="1" applyAlignment="1">
      <alignment/>
    </xf>
    <xf numFmtId="2" fontId="30" fillId="24" borderId="0" xfId="0" applyNumberFormat="1" applyFont="1" applyFill="1" applyAlignment="1">
      <alignment horizontal="center"/>
    </xf>
    <xf numFmtId="0" fontId="6" fillId="10" borderId="18" xfId="59" applyNumberFormat="1" applyFont="1" applyFill="1" applyBorder="1" applyAlignment="1">
      <alignment/>
    </xf>
    <xf numFmtId="0" fontId="20" fillId="8" borderId="30" xfId="0" applyFont="1" applyFill="1" applyBorder="1" applyAlignment="1" applyProtection="1">
      <alignment horizontal="center"/>
      <protection hidden="1" locked="0"/>
    </xf>
    <xf numFmtId="0" fontId="20" fillId="8" borderId="31" xfId="0" applyFont="1" applyFill="1" applyBorder="1" applyAlignment="1" applyProtection="1">
      <alignment horizontal="center"/>
      <protection hidden="1" locked="0"/>
    </xf>
    <xf numFmtId="0" fontId="20" fillId="8" borderId="32" xfId="0" applyFont="1" applyFill="1" applyBorder="1" applyAlignment="1" applyProtection="1">
      <alignment horizontal="center"/>
      <protection hidden="1" locked="0"/>
    </xf>
    <xf numFmtId="0" fontId="20" fillId="8" borderId="30" xfId="0" applyFont="1" applyFill="1" applyBorder="1" applyAlignment="1" applyProtection="1">
      <alignment horizontal="center"/>
      <protection hidden="1" locked="0"/>
    </xf>
    <xf numFmtId="0" fontId="20" fillId="8" borderId="32" xfId="0" applyFont="1" applyFill="1" applyBorder="1" applyAlignment="1" applyProtection="1">
      <alignment horizontal="center"/>
      <protection hidden="1" locked="0"/>
    </xf>
    <xf numFmtId="0" fontId="20" fillId="24" borderId="30" xfId="0" applyFont="1" applyFill="1" applyBorder="1" applyAlignment="1" applyProtection="1">
      <alignment horizontal="center"/>
      <protection hidden="1"/>
    </xf>
    <xf numFmtId="0" fontId="20" fillId="24" borderId="31" xfId="0" applyFont="1" applyFill="1" applyBorder="1" applyAlignment="1" applyProtection="1">
      <alignment horizontal="center"/>
      <protection hidden="1"/>
    </xf>
    <xf numFmtId="0" fontId="20" fillId="24" borderId="32" xfId="0" applyFon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Spectral power distribution</a:t>
            </a:r>
          </a:p>
        </c:rich>
      </c:tx>
      <c:layout>
        <c:manualLayout>
          <c:xMode val="factor"/>
          <c:yMode val="factor"/>
          <c:x val="-0.0025"/>
          <c:y val="-0.00925"/>
        </c:manualLayout>
      </c:layout>
      <c:spPr>
        <a:noFill/>
        <a:ln>
          <a:noFill/>
        </a:ln>
      </c:spPr>
    </c:title>
    <c:plotArea>
      <c:layout>
        <c:manualLayout>
          <c:xMode val="edge"/>
          <c:yMode val="edge"/>
          <c:x val="0.0775"/>
          <c:y val="0.32375"/>
          <c:w val="0.90375"/>
          <c:h val="0.56025"/>
        </c:manualLayout>
      </c:layout>
      <c:scatterChart>
        <c:scatterStyle val="smoothMarker"/>
        <c:varyColors val="0"/>
        <c:ser>
          <c:idx val="1"/>
          <c:order val="0"/>
          <c:tx>
            <c:strRef>
              <c:f>Toolbox!$AD$8</c:f>
              <c:strCache>
                <c:ptCount val="1"/>
                <c:pt idx="0">
                  <c:v>Melanopic</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Toolbox!$AB$9:$AB$89</c:f>
              <c:numCache/>
            </c:numRef>
          </c:xVal>
          <c:yVal>
            <c:numRef>
              <c:f>Toolbox!$AD$9:$AD$89</c:f>
              <c:numCache/>
            </c:numRef>
          </c:yVal>
          <c:smooth val="1"/>
        </c:ser>
        <c:ser>
          <c:idx val="0"/>
          <c:order val="1"/>
          <c:tx>
            <c:strRef>
              <c:f>Toolbox!$AC$8</c:f>
              <c:strCache>
                <c:ptCount val="1"/>
                <c:pt idx="0">
                  <c:v>Corneal</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Toolbox!$AB$9:$AB$89</c:f>
              <c:numCache/>
            </c:numRef>
          </c:xVal>
          <c:yVal>
            <c:numRef>
              <c:f>Toolbox!$AC$9:$AC$89</c:f>
              <c:numCache/>
            </c:numRef>
          </c:yVal>
          <c:smooth val="1"/>
        </c:ser>
        <c:axId val="33844238"/>
        <c:axId val="36162687"/>
      </c:scatterChart>
      <c:valAx>
        <c:axId val="33844238"/>
        <c:scaling>
          <c:orientation val="minMax"/>
          <c:max val="800"/>
          <c:min val="350"/>
        </c:scaling>
        <c:axPos val="b"/>
        <c:title>
          <c:tx>
            <c:rich>
              <a:bodyPr vert="horz" rot="0" anchor="ctr"/>
              <a:lstStyle/>
              <a:p>
                <a:pPr algn="ctr">
                  <a:defRPr/>
                </a:pPr>
                <a:r>
                  <a:rPr lang="en-US" cap="none" sz="1600" b="1" i="0" u="none" baseline="0">
                    <a:latin typeface="Calibri"/>
                    <a:ea typeface="Calibri"/>
                    <a:cs typeface="Calibri"/>
                  </a:rPr>
                  <a:t>wavelength (nm)</a:t>
                </a:r>
              </a:p>
            </c:rich>
          </c:tx>
          <c:layout>
            <c:manualLayout>
              <c:xMode val="factor"/>
              <c:yMode val="factor"/>
              <c:x val="-0.04825"/>
              <c:y val="-0.004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36162687"/>
        <c:crosses val="autoZero"/>
        <c:crossBetween val="midCat"/>
        <c:dispUnits/>
        <c:majorUnit val="50"/>
      </c:valAx>
      <c:valAx>
        <c:axId val="36162687"/>
        <c:scaling>
          <c:orientation val="minMax"/>
          <c:min val="0"/>
        </c:scaling>
        <c:axPos val="l"/>
        <c:title>
          <c:tx>
            <c:rich>
              <a:bodyPr vert="horz" rot="-5400000" anchor="ctr"/>
              <a:lstStyle/>
              <a:p>
                <a:pPr algn="ctr">
                  <a:defRPr/>
                </a:pPr>
                <a:r>
                  <a:rPr lang="en-US" cap="none" sz="1600" b="1" i="0" u="none" baseline="0">
                    <a:solidFill>
                      <a:srgbClr val="000000"/>
                    </a:solidFill>
                    <a:latin typeface="Calibri"/>
                    <a:ea typeface="Calibri"/>
                    <a:cs typeface="Calibri"/>
                  </a:rPr>
                  <a:t>μW.cm</a:t>
                </a:r>
                <a:r>
                  <a:rPr lang="en-US" cap="none" sz="1600" b="1" i="0" u="none" baseline="30000">
                    <a:solidFill>
                      <a:srgbClr val="000000"/>
                    </a:solidFill>
                    <a:latin typeface="Calibri"/>
                    <a:ea typeface="Calibri"/>
                    <a:cs typeface="Calibri"/>
                  </a:rPr>
                  <a:t>-2</a:t>
                </a:r>
                <a:r>
                  <a:rPr lang="en-US" cap="none" sz="1600" b="1" i="0" u="none" baseline="0">
                    <a:solidFill>
                      <a:srgbClr val="000000"/>
                    </a:solidFill>
                    <a:latin typeface="Calibri"/>
                    <a:ea typeface="Calibri"/>
                    <a:cs typeface="Calibri"/>
                  </a:rPr>
                  <a:t>.nm</a:t>
                </a:r>
                <a:r>
                  <a:rPr lang="en-US" cap="none" sz="1600" b="1" i="0" u="none" baseline="30000">
                    <a:solidFill>
                      <a:srgbClr val="000000"/>
                    </a:solidFill>
                    <a:latin typeface="Calibri"/>
                    <a:ea typeface="Calibri"/>
                    <a:cs typeface="Calibri"/>
                  </a:rPr>
                  <a:t>-1</a:t>
                </a:r>
              </a:p>
            </c:rich>
          </c:tx>
          <c:layout>
            <c:manualLayout>
              <c:xMode val="factor"/>
              <c:yMode val="factor"/>
              <c:x val="-0.02125"/>
              <c:y val="-0.0185"/>
            </c:manualLayout>
          </c:layout>
          <c:overlay val="0"/>
          <c:spPr>
            <a:noFill/>
            <a:ln>
              <a:noFill/>
            </a:ln>
          </c:spPr>
        </c:title>
        <c:delete val="0"/>
        <c:numFmt formatCode="#,##0.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33844238"/>
        <c:crosses val="autoZero"/>
        <c:crossBetween val="midCat"/>
        <c:dispUnits/>
      </c:valAx>
      <c:spPr>
        <a:solidFill>
          <a:srgbClr val="FFFFFF"/>
        </a:solidFill>
        <a:ln w="3175">
          <a:noFill/>
        </a:ln>
      </c:spPr>
    </c:plotArea>
    <c:legend>
      <c:legendPos val="r"/>
      <c:layout>
        <c:manualLayout>
          <c:xMode val="edge"/>
          <c:yMode val="edge"/>
          <c:x val="0.70725"/>
          <c:y val="0.312"/>
          <c:w val="0.201"/>
          <c:h val="0.344"/>
        </c:manualLayout>
      </c:layout>
      <c:overlay val="0"/>
      <c:spPr>
        <a:solidFill>
          <a:srgbClr val="FFFFFF"/>
        </a:solidFill>
        <a:ln w="3175">
          <a:noFill/>
        </a:ln>
      </c:spPr>
      <c:txPr>
        <a:bodyPr vert="horz" rot="0"/>
        <a:lstStyle/>
        <a:p>
          <a:pPr>
            <a:defRPr lang="en-US" cap="none" sz="7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Effective illuminance 
</a:t>
            </a:r>
            <a:r>
              <a:rPr lang="en-US" cap="none" sz="1600" b="1" i="0" u="none" baseline="0">
                <a:solidFill>
                  <a:srgbClr val="000000"/>
                </a:solidFill>
                <a:latin typeface="Calibri"/>
                <a:ea typeface="Calibri"/>
                <a:cs typeface="Calibri"/>
              </a:rPr>
              <a:t>for human  photopigments</a:t>
            </a:r>
          </a:p>
        </c:rich>
      </c:tx>
      <c:layout>
        <c:manualLayout>
          <c:xMode val="factor"/>
          <c:yMode val="factor"/>
          <c:x val="-0.0025"/>
          <c:y val="-0.01225"/>
        </c:manualLayout>
      </c:layout>
      <c:spPr>
        <a:noFill/>
        <a:ln>
          <a:noFill/>
        </a:ln>
      </c:spPr>
    </c:title>
    <c:plotArea>
      <c:layout>
        <c:manualLayout>
          <c:xMode val="edge"/>
          <c:yMode val="edge"/>
          <c:x val="0.0765"/>
          <c:y val="0.4335"/>
          <c:w val="0.90075"/>
          <c:h val="0.55575"/>
        </c:manualLayout>
      </c:layout>
      <c:barChart>
        <c:barDir val="col"/>
        <c:grouping val="clustered"/>
        <c:varyColors val="0"/>
        <c:ser>
          <c:idx val="0"/>
          <c:order val="0"/>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D4"/>
              </a:solidFill>
              <a:ln w="12700">
                <a:solidFill>
                  <a:srgbClr val="000000"/>
                </a:solidFill>
              </a:ln>
            </c:spPr>
          </c:dPt>
          <c:dPt>
            <c:idx val="1"/>
            <c:invertIfNegative val="0"/>
            <c:spPr>
              <a:solidFill>
                <a:srgbClr val="FFFFFF"/>
              </a:solid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1FB714"/>
              </a:solidFill>
              <a:ln w="12700">
                <a:solidFill>
                  <a:srgbClr val="000000"/>
                </a:solidFill>
              </a:ln>
            </c:spPr>
          </c:dPt>
          <c:cat>
            <c:strRef>
              <c:f>Toolbox!$G$27:$G$31</c:f>
              <c:strCache/>
            </c:strRef>
          </c:cat>
          <c:val>
            <c:numRef>
              <c:f>Toolbox!$I$27:$I$31</c:f>
              <c:numCache/>
            </c:numRef>
          </c:val>
        </c:ser>
        <c:axId val="57028728"/>
        <c:axId val="43496505"/>
      </c:barChart>
      <c:catAx>
        <c:axId val="570287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3496505"/>
        <c:crosses val="autoZero"/>
        <c:auto val="1"/>
        <c:lblOffset val="100"/>
        <c:tickLblSkip val="1"/>
        <c:noMultiLvlLbl val="0"/>
      </c:catAx>
      <c:valAx>
        <c:axId val="43496505"/>
        <c:scaling>
          <c:orientation val="minMax"/>
          <c:min val="0"/>
        </c:scaling>
        <c:axPos val="l"/>
        <c:title>
          <c:tx>
            <c:rich>
              <a:bodyPr vert="horz" rot="-5400000" anchor="ctr"/>
              <a:lstStyle/>
              <a:p>
                <a:pPr algn="ctr">
                  <a:defRPr/>
                </a:pPr>
                <a:r>
                  <a:rPr lang="en-US" cap="none" sz="1600" b="1" i="0" u="none" baseline="0">
                    <a:latin typeface="Calibri"/>
                    <a:ea typeface="Calibri"/>
                    <a:cs typeface="Calibri"/>
                  </a:rPr>
                  <a:t>α-opic  lux equivalent</a:t>
                </a:r>
              </a:p>
            </c:rich>
          </c:tx>
          <c:layout>
            <c:manualLayout>
              <c:xMode val="factor"/>
              <c:yMode val="factor"/>
              <c:x val="-0.025"/>
              <c:y val="-0.00275"/>
            </c:manualLayout>
          </c:layout>
          <c:overlay val="0"/>
          <c:spPr>
            <a:noFill/>
            <a:ln>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70287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4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Probability normalised sensitivity curves</a:t>
            </a:r>
          </a:p>
        </c:rich>
      </c:tx>
      <c:layout>
        <c:manualLayout>
          <c:xMode val="factor"/>
          <c:yMode val="factor"/>
          <c:x val="-0.0025"/>
          <c:y val="-0.011"/>
        </c:manualLayout>
      </c:layout>
      <c:spPr>
        <a:noFill/>
        <a:ln>
          <a:noFill/>
        </a:ln>
      </c:spPr>
    </c:title>
    <c:plotArea>
      <c:layout>
        <c:manualLayout>
          <c:xMode val="edge"/>
          <c:yMode val="edge"/>
          <c:x val="0.0795"/>
          <c:y val="0.26725"/>
          <c:w val="0.90225"/>
          <c:h val="0.6395"/>
        </c:manualLayout>
      </c:layout>
      <c:scatterChart>
        <c:scatterStyle val="lineMarker"/>
        <c:varyColors val="0"/>
        <c:ser>
          <c:idx val="4"/>
          <c:order val="0"/>
          <c:tx>
            <c:strRef>
              <c:f>Conversions!$U$21</c:f>
              <c:strCache>
                <c:ptCount val="1"/>
                <c:pt idx="0">
                  <c:v>sc</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Conversions!$P$22:$P$102</c:f>
              <c:numCache>
                <c:ptCount val="81"/>
                <c:pt idx="0">
                  <c:v>380</c:v>
                </c:pt>
                <c:pt idx="1">
                  <c:v>385</c:v>
                </c:pt>
                <c:pt idx="2">
                  <c:v>390</c:v>
                </c:pt>
                <c:pt idx="3">
                  <c:v>395</c:v>
                </c:pt>
                <c:pt idx="4">
                  <c:v>400</c:v>
                </c:pt>
                <c:pt idx="5">
                  <c:v>405</c:v>
                </c:pt>
                <c:pt idx="6">
                  <c:v>410</c:v>
                </c:pt>
                <c:pt idx="7">
                  <c:v>415</c:v>
                </c:pt>
                <c:pt idx="8">
                  <c:v>420</c:v>
                </c:pt>
                <c:pt idx="9">
                  <c:v>425</c:v>
                </c:pt>
                <c:pt idx="10">
                  <c:v>430</c:v>
                </c:pt>
                <c:pt idx="11">
                  <c:v>435</c:v>
                </c:pt>
                <c:pt idx="12">
                  <c:v>440</c:v>
                </c:pt>
                <c:pt idx="13">
                  <c:v>445</c:v>
                </c:pt>
                <c:pt idx="14">
                  <c:v>450</c:v>
                </c:pt>
                <c:pt idx="15">
                  <c:v>455</c:v>
                </c:pt>
                <c:pt idx="16">
                  <c:v>460</c:v>
                </c:pt>
                <c:pt idx="17">
                  <c:v>465</c:v>
                </c:pt>
                <c:pt idx="18">
                  <c:v>470</c:v>
                </c:pt>
                <c:pt idx="19">
                  <c:v>475</c:v>
                </c:pt>
                <c:pt idx="20">
                  <c:v>480</c:v>
                </c:pt>
                <c:pt idx="21">
                  <c:v>485</c:v>
                </c:pt>
                <c:pt idx="22">
                  <c:v>490</c:v>
                </c:pt>
                <c:pt idx="23">
                  <c:v>495</c:v>
                </c:pt>
                <c:pt idx="24">
                  <c:v>500</c:v>
                </c:pt>
                <c:pt idx="25">
                  <c:v>505</c:v>
                </c:pt>
                <c:pt idx="26">
                  <c:v>510</c:v>
                </c:pt>
                <c:pt idx="27">
                  <c:v>515</c:v>
                </c:pt>
                <c:pt idx="28">
                  <c:v>520</c:v>
                </c:pt>
                <c:pt idx="29">
                  <c:v>525</c:v>
                </c:pt>
                <c:pt idx="30">
                  <c:v>530</c:v>
                </c:pt>
                <c:pt idx="31">
                  <c:v>535</c:v>
                </c:pt>
                <c:pt idx="32">
                  <c:v>540</c:v>
                </c:pt>
                <c:pt idx="33">
                  <c:v>545</c:v>
                </c:pt>
                <c:pt idx="34">
                  <c:v>550</c:v>
                </c:pt>
                <c:pt idx="35">
                  <c:v>555</c:v>
                </c:pt>
                <c:pt idx="36">
                  <c:v>560</c:v>
                </c:pt>
                <c:pt idx="37">
                  <c:v>565</c:v>
                </c:pt>
                <c:pt idx="38">
                  <c:v>570</c:v>
                </c:pt>
                <c:pt idx="39">
                  <c:v>575</c:v>
                </c:pt>
                <c:pt idx="40">
                  <c:v>580</c:v>
                </c:pt>
                <c:pt idx="41">
                  <c:v>585</c:v>
                </c:pt>
                <c:pt idx="42">
                  <c:v>590</c:v>
                </c:pt>
                <c:pt idx="43">
                  <c:v>595</c:v>
                </c:pt>
                <c:pt idx="44">
                  <c:v>600</c:v>
                </c:pt>
                <c:pt idx="45">
                  <c:v>605</c:v>
                </c:pt>
                <c:pt idx="46">
                  <c:v>610</c:v>
                </c:pt>
                <c:pt idx="47">
                  <c:v>615</c:v>
                </c:pt>
                <c:pt idx="48">
                  <c:v>620</c:v>
                </c:pt>
                <c:pt idx="49">
                  <c:v>625</c:v>
                </c:pt>
                <c:pt idx="50">
                  <c:v>630</c:v>
                </c:pt>
                <c:pt idx="51">
                  <c:v>635</c:v>
                </c:pt>
                <c:pt idx="52">
                  <c:v>640</c:v>
                </c:pt>
                <c:pt idx="53">
                  <c:v>645</c:v>
                </c:pt>
                <c:pt idx="54">
                  <c:v>650</c:v>
                </c:pt>
                <c:pt idx="55">
                  <c:v>655</c:v>
                </c:pt>
                <c:pt idx="56">
                  <c:v>660</c:v>
                </c:pt>
                <c:pt idx="57">
                  <c:v>665</c:v>
                </c:pt>
                <c:pt idx="58">
                  <c:v>670</c:v>
                </c:pt>
                <c:pt idx="59">
                  <c:v>675</c:v>
                </c:pt>
                <c:pt idx="60">
                  <c:v>680</c:v>
                </c:pt>
                <c:pt idx="61">
                  <c:v>685</c:v>
                </c:pt>
                <c:pt idx="62">
                  <c:v>690</c:v>
                </c:pt>
                <c:pt idx="63">
                  <c:v>695</c:v>
                </c:pt>
                <c:pt idx="64">
                  <c:v>700</c:v>
                </c:pt>
                <c:pt idx="65">
                  <c:v>705</c:v>
                </c:pt>
                <c:pt idx="66">
                  <c:v>710</c:v>
                </c:pt>
                <c:pt idx="67">
                  <c:v>715</c:v>
                </c:pt>
                <c:pt idx="68">
                  <c:v>720</c:v>
                </c:pt>
                <c:pt idx="69">
                  <c:v>725</c:v>
                </c:pt>
                <c:pt idx="70">
                  <c:v>730</c:v>
                </c:pt>
                <c:pt idx="71">
                  <c:v>735</c:v>
                </c:pt>
                <c:pt idx="72">
                  <c:v>740</c:v>
                </c:pt>
                <c:pt idx="73">
                  <c:v>745</c:v>
                </c:pt>
                <c:pt idx="74">
                  <c:v>750</c:v>
                </c:pt>
                <c:pt idx="75">
                  <c:v>755</c:v>
                </c:pt>
                <c:pt idx="76">
                  <c:v>760</c:v>
                </c:pt>
                <c:pt idx="77">
                  <c:v>765</c:v>
                </c:pt>
                <c:pt idx="78">
                  <c:v>770</c:v>
                </c:pt>
                <c:pt idx="79">
                  <c:v>775</c:v>
                </c:pt>
                <c:pt idx="80">
                  <c:v>780</c:v>
                </c:pt>
              </c:numCache>
            </c:numRef>
          </c:xVal>
          <c:yVal>
            <c:numRef>
              <c:f>Conversions!$U$22:$U$102</c:f>
              <c:numCache>
                <c:ptCount val="81"/>
                <c:pt idx="0">
                  <c:v>0.00048655967132248037</c:v>
                </c:pt>
                <c:pt idx="1">
                  <c:v>0.0009468972723848785</c:v>
                </c:pt>
                <c:pt idx="2">
                  <c:v>0.0018274144453656897</c:v>
                </c:pt>
                <c:pt idx="3">
                  <c:v>0.0034927119512258723</c:v>
                </c:pt>
                <c:pt idx="4">
                  <c:v>0.006606432663924319</c:v>
                </c:pt>
                <c:pt idx="5">
                  <c:v>0.012461435067408388</c:v>
                </c:pt>
                <c:pt idx="6">
                  <c:v>0.023243470777415752</c:v>
                </c:pt>
                <c:pt idx="7">
                  <c:v>0.03617651028855707</c:v>
                </c:pt>
                <c:pt idx="8">
                  <c:v>0.055598621703417596</c:v>
                </c:pt>
                <c:pt idx="9">
                  <c:v>0.06662587657684697</c:v>
                </c:pt>
                <c:pt idx="10">
                  <c:v>0.07859160847528623</c:v>
                </c:pt>
                <c:pt idx="11">
                  <c:v>0.0853587589332028</c:v>
                </c:pt>
                <c:pt idx="12">
                  <c:v>0.09078532454571933</c:v>
                </c:pt>
                <c:pt idx="13">
                  <c:v>0.08968357670554288</c:v>
                </c:pt>
                <c:pt idx="14">
                  <c:v>0.08612884993137224</c:v>
                </c:pt>
                <c:pt idx="15">
                  <c:v>0.0787770290828607</c:v>
                </c:pt>
                <c:pt idx="16">
                  <c:v>0.06939656322985557</c:v>
                </c:pt>
                <c:pt idx="17">
                  <c:v>0.058448853501157354</c:v>
                </c:pt>
                <c:pt idx="18">
                  <c:v>0.04696931791312094</c:v>
                </c:pt>
                <c:pt idx="19">
                  <c:v>0.035430670422599606</c:v>
                </c:pt>
                <c:pt idx="20">
                  <c:v>0.02545368999230329</c:v>
                </c:pt>
                <c:pt idx="21">
                  <c:v>0.01730883026876756</c:v>
                </c:pt>
                <c:pt idx="22">
                  <c:v>0.011338367061795324</c:v>
                </c:pt>
                <c:pt idx="23">
                  <c:v>0.00721727190958898</c:v>
                </c:pt>
                <c:pt idx="24">
                  <c:v>0.004503010907266552</c:v>
                </c:pt>
                <c:pt idx="25">
                  <c:v>0.002774905337104372</c:v>
                </c:pt>
                <c:pt idx="26">
                  <c:v>0.0016992763774504515</c:v>
                </c:pt>
                <c:pt idx="27">
                  <c:v>0.0010316966381110015</c:v>
                </c:pt>
                <c:pt idx="28">
                  <c:v>0.0006274139692869088</c:v>
                </c:pt>
                <c:pt idx="29">
                  <c:v>0.0003826261751455396</c:v>
                </c:pt>
                <c:pt idx="30">
                  <c:v>0.00023463496124419454</c:v>
                </c:pt>
                <c:pt idx="31">
                  <c:v>0.00014482855683566257</c:v>
                </c:pt>
                <c:pt idx="32">
                  <c:v>9.004108814945119E-05</c:v>
                </c:pt>
                <c:pt idx="33">
                  <c:v>5.64702553524073E-05</c:v>
                </c:pt>
                <c:pt idx="34">
                  <c:v>3.569274498720228E-05</c:v>
                </c:pt>
                <c:pt idx="35">
                  <c:v>2.27120356787737E-05</c:v>
                </c:pt>
                <c:pt idx="36">
                  <c:v>1.456619309084585E-05</c:v>
                </c:pt>
                <c:pt idx="37">
                  <c:v>9.393405514299106E-06</c:v>
                </c:pt>
                <c:pt idx="38">
                  <c:v>6.104408549858098E-06</c:v>
                </c:pt>
                <c:pt idx="39">
                  <c:v>3.987982270660925E-06</c:v>
                </c:pt>
                <c:pt idx="40">
                  <c:v>2.6247659922145985E-06</c:v>
                </c:pt>
                <c:pt idx="41">
                  <c:v>1.7401638122045215E-06</c:v>
                </c:pt>
                <c:pt idx="42">
                  <c:v>1.1619407019491879E-06</c:v>
                </c:pt>
                <c:pt idx="43">
                  <c:v>7.794768437616265E-07</c:v>
                </c:pt>
                <c:pt idx="44">
                  <c:v>5.264764484558213E-07</c:v>
                </c:pt>
                <c:pt idx="45">
                  <c:v>3.5755492480468865E-07</c:v>
                </c:pt>
                <c:pt idx="46">
                  <c:v>2.444146607068582E-07</c:v>
                </c:pt>
                <c:pt idx="47">
                  <c:v>1.6813814954267143E-07</c:v>
                </c:pt>
                <c:pt idx="48">
                  <c:v>1.1638448612632621E-07</c:v>
                </c:pt>
                <c:pt idx="49">
                  <c:v>8.086313982891415E-08</c:v>
                </c:pt>
                <c:pt idx="50">
                  <c:v>5.651598099235681E-08</c:v>
                </c:pt>
                <c:pt idx="51">
                  <c:v>3.972804929191972E-08</c:v>
                </c:pt>
                <c:pt idx="52">
                  <c:v>2.8084733619519035E-08</c:v>
                </c:pt>
                <c:pt idx="53">
                  <c:v>1.9940402384765194E-08</c:v>
                </c:pt>
                <c:pt idx="54">
                  <c:v>1.4234202035484558E-08</c:v>
                </c:pt>
                <c:pt idx="55">
                  <c:v>1.021444065218241E-08</c:v>
                </c:pt>
                <c:pt idx="56">
                  <c:v>7.36760783390247E-09</c:v>
                </c:pt>
                <c:pt idx="57">
                  <c:v>5.3409506719042435E-09</c:v>
                </c:pt>
                <c:pt idx="58">
                  <c:v>3.8908271509769154E-09</c:v>
                </c:pt>
                <c:pt idx="59">
                  <c:v>2.8447833055125115E-09</c:v>
                </c:pt>
                <c:pt idx="60">
                  <c:v>2.089749910177365E-09</c:v>
                </c:pt>
                <c:pt idx="61">
                  <c:v>1.5421710740143061E-09</c:v>
                </c:pt>
                <c:pt idx="62">
                  <c:v>1.1431953929143036E-09</c:v>
                </c:pt>
                <c:pt idx="63">
                  <c:v>8.504835544856406E-10</c:v>
                </c:pt>
                <c:pt idx="64">
                  <c:v>6.354448523055729E-10</c:v>
                </c:pt>
                <c:pt idx="65">
                  <c:v>4.767783042890416E-10</c:v>
                </c:pt>
                <c:pt idx="66">
                  <c:v>3.592055690926789E-10</c:v>
                </c:pt>
                <c:pt idx="67">
                  <c:v>2.716876192544582E-10</c:v>
                </c:pt>
                <c:pt idx="68">
                  <c:v>2.0630517761032388E-10</c:v>
                </c:pt>
                <c:pt idx="69">
                  <c:v>1.5722770234883916E-10</c:v>
                </c:pt>
                <c:pt idx="70">
                  <c:v>1.2027926510093974E-10</c:v>
                </c:pt>
                <c:pt idx="71">
                  <c:v>9.234496627999858E-11</c:v>
                </c:pt>
                <c:pt idx="72">
                  <c:v>7.11560939775069E-11</c:v>
                </c:pt>
                <c:pt idx="73">
                  <c:v>5.50181634309494E-11</c:v>
                </c:pt>
                <c:pt idx="74">
                  <c:v>4.26887807774703E-11</c:v>
                </c:pt>
                <c:pt idx="75">
                  <c:v>3.322440715871792E-11</c:v>
                </c:pt>
                <c:pt idx="76">
                  <c:v>2.59449556832619E-11</c:v>
                </c:pt>
                <c:pt idx="77">
                  <c:v>2.0329447748241597E-11</c:v>
                </c:pt>
                <c:pt idx="78">
                  <c:v>1.598079697728929E-11</c:v>
                </c:pt>
                <c:pt idx="79">
                  <c:v>1.2600471846793809E-11</c:v>
                </c:pt>
                <c:pt idx="80">
                  <c:v>9.96600328380764E-12</c:v>
                </c:pt>
              </c:numCache>
            </c:numRef>
          </c:yVal>
          <c:smooth val="0"/>
        </c:ser>
        <c:ser>
          <c:idx val="3"/>
          <c:order val="1"/>
          <c:tx>
            <c:strRef>
              <c:f>Conversions!$T$21</c:f>
              <c:strCache>
                <c:ptCount val="1"/>
                <c:pt idx="0">
                  <c:v>z</c:v>
                </c:pt>
              </c:strCache>
            </c:strRef>
          </c:tx>
          <c:spPr>
            <a:ln w="254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Conversions!$P$22:$P$102</c:f>
              <c:numCache>
                <c:ptCount val="81"/>
                <c:pt idx="0">
                  <c:v>380</c:v>
                </c:pt>
                <c:pt idx="1">
                  <c:v>385</c:v>
                </c:pt>
                <c:pt idx="2">
                  <c:v>390</c:v>
                </c:pt>
                <c:pt idx="3">
                  <c:v>395</c:v>
                </c:pt>
                <c:pt idx="4">
                  <c:v>400</c:v>
                </c:pt>
                <c:pt idx="5">
                  <c:v>405</c:v>
                </c:pt>
                <c:pt idx="6">
                  <c:v>410</c:v>
                </c:pt>
                <c:pt idx="7">
                  <c:v>415</c:v>
                </c:pt>
                <c:pt idx="8">
                  <c:v>420</c:v>
                </c:pt>
                <c:pt idx="9">
                  <c:v>425</c:v>
                </c:pt>
                <c:pt idx="10">
                  <c:v>430</c:v>
                </c:pt>
                <c:pt idx="11">
                  <c:v>435</c:v>
                </c:pt>
                <c:pt idx="12">
                  <c:v>440</c:v>
                </c:pt>
                <c:pt idx="13">
                  <c:v>445</c:v>
                </c:pt>
                <c:pt idx="14">
                  <c:v>450</c:v>
                </c:pt>
                <c:pt idx="15">
                  <c:v>455</c:v>
                </c:pt>
                <c:pt idx="16">
                  <c:v>460</c:v>
                </c:pt>
                <c:pt idx="17">
                  <c:v>465</c:v>
                </c:pt>
                <c:pt idx="18">
                  <c:v>470</c:v>
                </c:pt>
                <c:pt idx="19">
                  <c:v>475</c:v>
                </c:pt>
                <c:pt idx="20">
                  <c:v>480</c:v>
                </c:pt>
                <c:pt idx="21">
                  <c:v>485</c:v>
                </c:pt>
                <c:pt idx="22">
                  <c:v>490</c:v>
                </c:pt>
                <c:pt idx="23">
                  <c:v>495</c:v>
                </c:pt>
                <c:pt idx="24">
                  <c:v>500</c:v>
                </c:pt>
                <c:pt idx="25">
                  <c:v>505</c:v>
                </c:pt>
                <c:pt idx="26">
                  <c:v>510</c:v>
                </c:pt>
                <c:pt idx="27">
                  <c:v>515</c:v>
                </c:pt>
                <c:pt idx="28">
                  <c:v>520</c:v>
                </c:pt>
                <c:pt idx="29">
                  <c:v>525</c:v>
                </c:pt>
                <c:pt idx="30">
                  <c:v>530</c:v>
                </c:pt>
                <c:pt idx="31">
                  <c:v>535</c:v>
                </c:pt>
                <c:pt idx="32">
                  <c:v>540</c:v>
                </c:pt>
                <c:pt idx="33">
                  <c:v>545</c:v>
                </c:pt>
                <c:pt idx="34">
                  <c:v>550</c:v>
                </c:pt>
                <c:pt idx="35">
                  <c:v>555</c:v>
                </c:pt>
                <c:pt idx="36">
                  <c:v>560</c:v>
                </c:pt>
                <c:pt idx="37">
                  <c:v>565</c:v>
                </c:pt>
                <c:pt idx="38">
                  <c:v>570</c:v>
                </c:pt>
                <c:pt idx="39">
                  <c:v>575</c:v>
                </c:pt>
                <c:pt idx="40">
                  <c:v>580</c:v>
                </c:pt>
                <c:pt idx="41">
                  <c:v>585</c:v>
                </c:pt>
                <c:pt idx="42">
                  <c:v>590</c:v>
                </c:pt>
                <c:pt idx="43">
                  <c:v>595</c:v>
                </c:pt>
                <c:pt idx="44">
                  <c:v>600</c:v>
                </c:pt>
                <c:pt idx="45">
                  <c:v>605</c:v>
                </c:pt>
                <c:pt idx="46">
                  <c:v>610</c:v>
                </c:pt>
                <c:pt idx="47">
                  <c:v>615</c:v>
                </c:pt>
                <c:pt idx="48">
                  <c:v>620</c:v>
                </c:pt>
                <c:pt idx="49">
                  <c:v>625</c:v>
                </c:pt>
                <c:pt idx="50">
                  <c:v>630</c:v>
                </c:pt>
                <c:pt idx="51">
                  <c:v>635</c:v>
                </c:pt>
                <c:pt idx="52">
                  <c:v>640</c:v>
                </c:pt>
                <c:pt idx="53">
                  <c:v>645</c:v>
                </c:pt>
                <c:pt idx="54">
                  <c:v>650</c:v>
                </c:pt>
                <c:pt idx="55">
                  <c:v>655</c:v>
                </c:pt>
                <c:pt idx="56">
                  <c:v>660</c:v>
                </c:pt>
                <c:pt idx="57">
                  <c:v>665</c:v>
                </c:pt>
                <c:pt idx="58">
                  <c:v>670</c:v>
                </c:pt>
                <c:pt idx="59">
                  <c:v>675</c:v>
                </c:pt>
                <c:pt idx="60">
                  <c:v>680</c:v>
                </c:pt>
                <c:pt idx="61">
                  <c:v>685</c:v>
                </c:pt>
                <c:pt idx="62">
                  <c:v>690</c:v>
                </c:pt>
                <c:pt idx="63">
                  <c:v>695</c:v>
                </c:pt>
                <c:pt idx="64">
                  <c:v>700</c:v>
                </c:pt>
                <c:pt idx="65">
                  <c:v>705</c:v>
                </c:pt>
                <c:pt idx="66">
                  <c:v>710</c:v>
                </c:pt>
                <c:pt idx="67">
                  <c:v>715</c:v>
                </c:pt>
                <c:pt idx="68">
                  <c:v>720</c:v>
                </c:pt>
                <c:pt idx="69">
                  <c:v>725</c:v>
                </c:pt>
                <c:pt idx="70">
                  <c:v>730</c:v>
                </c:pt>
                <c:pt idx="71">
                  <c:v>735</c:v>
                </c:pt>
                <c:pt idx="72">
                  <c:v>740</c:v>
                </c:pt>
                <c:pt idx="73">
                  <c:v>745</c:v>
                </c:pt>
                <c:pt idx="74">
                  <c:v>750</c:v>
                </c:pt>
                <c:pt idx="75">
                  <c:v>755</c:v>
                </c:pt>
                <c:pt idx="76">
                  <c:v>760</c:v>
                </c:pt>
                <c:pt idx="77">
                  <c:v>765</c:v>
                </c:pt>
                <c:pt idx="78">
                  <c:v>770</c:v>
                </c:pt>
                <c:pt idx="79">
                  <c:v>775</c:v>
                </c:pt>
                <c:pt idx="80">
                  <c:v>780</c:v>
                </c:pt>
              </c:numCache>
            </c:numRef>
          </c:xVal>
          <c:yVal>
            <c:numRef>
              <c:f>Conversions!$T$22:$T$102</c:f>
              <c:numCache>
                <c:ptCount val="81"/>
                <c:pt idx="0">
                  <c:v>5.236066941848883E-05</c:v>
                </c:pt>
                <c:pt idx="1">
                  <c:v>9.507842203220987E-05</c:v>
                </c:pt>
                <c:pt idx="2">
                  <c:v>0.00017646683465438205</c:v>
                </c:pt>
                <c:pt idx="3">
                  <c:v>0.0003353419377685946</c:v>
                </c:pt>
                <c:pt idx="4">
                  <c:v>0.0006516935632405857</c:v>
                </c:pt>
                <c:pt idx="5">
                  <c:v>0.0013008676073805766</c:v>
                </c:pt>
                <c:pt idx="6">
                  <c:v>0.002632104309221218</c:v>
                </c:pt>
                <c:pt idx="7">
                  <c:v>0.004532353375996246</c:v>
                </c:pt>
                <c:pt idx="8">
                  <c:v>0.007826303926371663</c:v>
                </c:pt>
                <c:pt idx="9">
                  <c:v>0.01066963948837872</c:v>
                </c:pt>
                <c:pt idx="10">
                  <c:v>0.014477301517108798</c:v>
                </c:pt>
                <c:pt idx="11">
                  <c:v>0.018287551125279234</c:v>
                </c:pt>
                <c:pt idx="12">
                  <c:v>0.022901509959520013</c:v>
                </c:pt>
                <c:pt idx="13">
                  <c:v>0.027031173566195</c:v>
                </c:pt>
                <c:pt idx="14">
                  <c:v>0.03157700025056025</c:v>
                </c:pt>
                <c:pt idx="15">
                  <c:v>0.035907595750092405</c:v>
                </c:pt>
                <c:pt idx="16">
                  <c:v>0.04037824808032507</c:v>
                </c:pt>
                <c:pt idx="17">
                  <c:v>0.044778921730832075</c:v>
                </c:pt>
                <c:pt idx="18">
                  <c:v>0.049060239266473384</c:v>
                </c:pt>
                <c:pt idx="19">
                  <c:v>0.052336057731909844</c:v>
                </c:pt>
                <c:pt idx="20">
                  <c:v>0.055066026606014354</c:v>
                </c:pt>
                <c:pt idx="21">
                  <c:v>0.0564926655898467</c:v>
                </c:pt>
                <c:pt idx="22">
                  <c:v>0.05702750775795709</c:v>
                </c:pt>
                <c:pt idx="23">
                  <c:v>0.056572558806557746</c:v>
                </c:pt>
                <c:pt idx="24">
                  <c:v>0.05508581566008296</c:v>
                </c:pt>
                <c:pt idx="25">
                  <c:v>0.05259639517253284</c:v>
                </c:pt>
                <c:pt idx="26">
                  <c:v>0.049208357786346885</c:v>
                </c:pt>
                <c:pt idx="27">
                  <c:v>0.04477990743153532</c:v>
                </c:pt>
                <c:pt idx="28">
                  <c:v>0.03989804346466327</c:v>
                </c:pt>
                <c:pt idx="29">
                  <c:v>0.034753824922207244</c:v>
                </c:pt>
                <c:pt idx="30">
                  <c:v>0.02961488151312581</c:v>
                </c:pt>
                <c:pt idx="31">
                  <c:v>0.024666295957313403</c:v>
                </c:pt>
                <c:pt idx="32">
                  <c:v>0.02005698686654591</c:v>
                </c:pt>
                <c:pt idx="33">
                  <c:v>0.015918384860365075</c:v>
                </c:pt>
                <c:pt idx="34">
                  <c:v>0.012302102500511242</c:v>
                </c:pt>
                <c:pt idx="35">
                  <c:v>0.009241643347429654</c:v>
                </c:pt>
                <c:pt idx="36">
                  <c:v>0.0067592209057174175</c:v>
                </c:pt>
                <c:pt idx="37">
                  <c:v>0.0048100261182486</c:v>
                </c:pt>
                <c:pt idx="38">
                  <c:v>0.0033475871620129863</c:v>
                </c:pt>
                <c:pt idx="39">
                  <c:v>0.002281607509444549</c:v>
                </c:pt>
                <c:pt idx="40">
                  <c:v>0.0015325992514067786</c:v>
                </c:pt>
                <c:pt idx="41">
                  <c:v>0.001018650809946287</c:v>
                </c:pt>
                <c:pt idx="42">
                  <c:v>0.00067236234451475</c:v>
                </c:pt>
                <c:pt idx="43">
                  <c:v>0.0004410675977298203</c:v>
                </c:pt>
                <c:pt idx="44">
                  <c:v>0.00028895062515421404</c:v>
                </c:pt>
                <c:pt idx="45">
                  <c:v>0.00018919805095792412</c:v>
                </c:pt>
                <c:pt idx="46">
                  <c:v>0.00012414752152453898</c:v>
                </c:pt>
                <c:pt idx="47">
                  <c:v>8.172859497592239E-05</c:v>
                </c:pt>
                <c:pt idx="48">
                  <c:v>5.4022907974922054E-05</c:v>
                </c:pt>
                <c:pt idx="49">
                  <c:v>3.5793198206325926E-05</c:v>
                </c:pt>
                <c:pt idx="50">
                  <c:v>2.3834955276406978E-05</c:v>
                </c:pt>
                <c:pt idx="51">
                  <c:v>1.5956351272026374E-05</c:v>
                </c:pt>
                <c:pt idx="52">
                  <c:v>1.0740606974263538E-05</c:v>
                </c:pt>
                <c:pt idx="53">
                  <c:v>7.261702682774408E-06</c:v>
                </c:pt>
                <c:pt idx="54">
                  <c:v>4.9371611103912315E-06</c:v>
                </c:pt>
                <c:pt idx="55">
                  <c:v>3.3755371261849678E-06</c:v>
                </c:pt>
                <c:pt idx="56">
                  <c:v>2.3207068934758805E-06</c:v>
                </c:pt>
                <c:pt idx="57">
                  <c:v>1.6043000281981036E-06</c:v>
                </c:pt>
                <c:pt idx="58">
                  <c:v>1.1150863395796774E-06</c:v>
                </c:pt>
                <c:pt idx="59">
                  <c:v>7.783129810472573E-07</c:v>
                </c:pt>
                <c:pt idx="60">
                  <c:v>5.4611635400735E-07</c:v>
                </c:pt>
                <c:pt idx="61">
                  <c:v>3.851780419077683E-07</c:v>
                </c:pt>
                <c:pt idx="62">
                  <c:v>2.730501492636491E-07</c:v>
                </c:pt>
                <c:pt idx="63">
                  <c:v>1.9437320938663023E-07</c:v>
                </c:pt>
                <c:pt idx="64">
                  <c:v>1.3904386904702972E-07</c:v>
                </c:pt>
                <c:pt idx="65">
                  <c:v>9.994181582129739E-08</c:v>
                </c:pt>
                <c:pt idx="66">
                  <c:v>7.217411238245245E-08</c:v>
                </c:pt>
                <c:pt idx="67">
                  <c:v>5.2355690786663397E-08</c:v>
                </c:pt>
                <c:pt idx="68">
                  <c:v>3.815088487486474E-08</c:v>
                </c:pt>
                <c:pt idx="69">
                  <c:v>2.79167204591683E-08</c:v>
                </c:pt>
                <c:pt idx="70">
                  <c:v>2.0516572454118292E-08</c:v>
                </c:pt>
                <c:pt idx="71">
                  <c:v>1.5140430832801665E-08</c:v>
                </c:pt>
                <c:pt idx="72">
                  <c:v>1.1219613591817152E-08</c:v>
                </c:pt>
                <c:pt idx="73">
                  <c:v>8.34714354052536E-09</c:v>
                </c:pt>
                <c:pt idx="74">
                  <c:v>6.234951830059331E-09</c:v>
                </c:pt>
                <c:pt idx="75">
                  <c:v>4.673899051780759E-09</c:v>
                </c:pt>
                <c:pt idx="76">
                  <c:v>3.5171683588029165E-09</c:v>
                </c:pt>
                <c:pt idx="77">
                  <c:v>2.6570027803097045E-09</c:v>
                </c:pt>
                <c:pt idx="78">
                  <c:v>2.0146244669515587E-09</c:v>
                </c:pt>
                <c:pt idx="79">
                  <c:v>1.5329163306285174E-09</c:v>
                </c:pt>
                <c:pt idx="80">
                  <c:v>1.1705361354613373E-09</c:v>
                </c:pt>
              </c:numCache>
            </c:numRef>
          </c:yVal>
          <c:smooth val="0"/>
        </c:ser>
        <c:ser>
          <c:idx val="2"/>
          <c:order val="2"/>
          <c:tx>
            <c:strRef>
              <c:f>Conversions!$S$21</c:f>
              <c:strCache>
                <c:ptCount val="1"/>
                <c:pt idx="0">
                  <c:v>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Conversions!$P$22:$P$102</c:f>
              <c:numCache>
                <c:ptCount val="81"/>
                <c:pt idx="0">
                  <c:v>380</c:v>
                </c:pt>
                <c:pt idx="1">
                  <c:v>385</c:v>
                </c:pt>
                <c:pt idx="2">
                  <c:v>390</c:v>
                </c:pt>
                <c:pt idx="3">
                  <c:v>395</c:v>
                </c:pt>
                <c:pt idx="4">
                  <c:v>400</c:v>
                </c:pt>
                <c:pt idx="5">
                  <c:v>405</c:v>
                </c:pt>
                <c:pt idx="6">
                  <c:v>410</c:v>
                </c:pt>
                <c:pt idx="7">
                  <c:v>415</c:v>
                </c:pt>
                <c:pt idx="8">
                  <c:v>420</c:v>
                </c:pt>
                <c:pt idx="9">
                  <c:v>425</c:v>
                </c:pt>
                <c:pt idx="10">
                  <c:v>430</c:v>
                </c:pt>
                <c:pt idx="11">
                  <c:v>435</c:v>
                </c:pt>
                <c:pt idx="12">
                  <c:v>440</c:v>
                </c:pt>
                <c:pt idx="13">
                  <c:v>445</c:v>
                </c:pt>
                <c:pt idx="14">
                  <c:v>450</c:v>
                </c:pt>
                <c:pt idx="15">
                  <c:v>455</c:v>
                </c:pt>
                <c:pt idx="16">
                  <c:v>460</c:v>
                </c:pt>
                <c:pt idx="17">
                  <c:v>465</c:v>
                </c:pt>
                <c:pt idx="18">
                  <c:v>470</c:v>
                </c:pt>
                <c:pt idx="19">
                  <c:v>475</c:v>
                </c:pt>
                <c:pt idx="20">
                  <c:v>480</c:v>
                </c:pt>
                <c:pt idx="21">
                  <c:v>485</c:v>
                </c:pt>
                <c:pt idx="22">
                  <c:v>490</c:v>
                </c:pt>
                <c:pt idx="23">
                  <c:v>495</c:v>
                </c:pt>
                <c:pt idx="24">
                  <c:v>500</c:v>
                </c:pt>
                <c:pt idx="25">
                  <c:v>505</c:v>
                </c:pt>
                <c:pt idx="26">
                  <c:v>510</c:v>
                </c:pt>
                <c:pt idx="27">
                  <c:v>515</c:v>
                </c:pt>
                <c:pt idx="28">
                  <c:v>520</c:v>
                </c:pt>
                <c:pt idx="29">
                  <c:v>525</c:v>
                </c:pt>
                <c:pt idx="30">
                  <c:v>530</c:v>
                </c:pt>
                <c:pt idx="31">
                  <c:v>535</c:v>
                </c:pt>
                <c:pt idx="32">
                  <c:v>540</c:v>
                </c:pt>
                <c:pt idx="33">
                  <c:v>545</c:v>
                </c:pt>
                <c:pt idx="34">
                  <c:v>550</c:v>
                </c:pt>
                <c:pt idx="35">
                  <c:v>555</c:v>
                </c:pt>
                <c:pt idx="36">
                  <c:v>560</c:v>
                </c:pt>
                <c:pt idx="37">
                  <c:v>565</c:v>
                </c:pt>
                <c:pt idx="38">
                  <c:v>570</c:v>
                </c:pt>
                <c:pt idx="39">
                  <c:v>575</c:v>
                </c:pt>
                <c:pt idx="40">
                  <c:v>580</c:v>
                </c:pt>
                <c:pt idx="41">
                  <c:v>585</c:v>
                </c:pt>
                <c:pt idx="42">
                  <c:v>590</c:v>
                </c:pt>
                <c:pt idx="43">
                  <c:v>595</c:v>
                </c:pt>
                <c:pt idx="44">
                  <c:v>600</c:v>
                </c:pt>
                <c:pt idx="45">
                  <c:v>605</c:v>
                </c:pt>
                <c:pt idx="46">
                  <c:v>610</c:v>
                </c:pt>
                <c:pt idx="47">
                  <c:v>615</c:v>
                </c:pt>
                <c:pt idx="48">
                  <c:v>620</c:v>
                </c:pt>
                <c:pt idx="49">
                  <c:v>625</c:v>
                </c:pt>
                <c:pt idx="50">
                  <c:v>630</c:v>
                </c:pt>
                <c:pt idx="51">
                  <c:v>635</c:v>
                </c:pt>
                <c:pt idx="52">
                  <c:v>640</c:v>
                </c:pt>
                <c:pt idx="53">
                  <c:v>645</c:v>
                </c:pt>
                <c:pt idx="54">
                  <c:v>650</c:v>
                </c:pt>
                <c:pt idx="55">
                  <c:v>655</c:v>
                </c:pt>
                <c:pt idx="56">
                  <c:v>660</c:v>
                </c:pt>
                <c:pt idx="57">
                  <c:v>665</c:v>
                </c:pt>
                <c:pt idx="58">
                  <c:v>670</c:v>
                </c:pt>
                <c:pt idx="59">
                  <c:v>675</c:v>
                </c:pt>
                <c:pt idx="60">
                  <c:v>680</c:v>
                </c:pt>
                <c:pt idx="61">
                  <c:v>685</c:v>
                </c:pt>
                <c:pt idx="62">
                  <c:v>690</c:v>
                </c:pt>
                <c:pt idx="63">
                  <c:v>695</c:v>
                </c:pt>
                <c:pt idx="64">
                  <c:v>700</c:v>
                </c:pt>
                <c:pt idx="65">
                  <c:v>705</c:v>
                </c:pt>
                <c:pt idx="66">
                  <c:v>710</c:v>
                </c:pt>
                <c:pt idx="67">
                  <c:v>715</c:v>
                </c:pt>
                <c:pt idx="68">
                  <c:v>720</c:v>
                </c:pt>
                <c:pt idx="69">
                  <c:v>725</c:v>
                </c:pt>
                <c:pt idx="70">
                  <c:v>730</c:v>
                </c:pt>
                <c:pt idx="71">
                  <c:v>735</c:v>
                </c:pt>
                <c:pt idx="72">
                  <c:v>740</c:v>
                </c:pt>
                <c:pt idx="73">
                  <c:v>745</c:v>
                </c:pt>
                <c:pt idx="74">
                  <c:v>750</c:v>
                </c:pt>
                <c:pt idx="75">
                  <c:v>755</c:v>
                </c:pt>
                <c:pt idx="76">
                  <c:v>760</c:v>
                </c:pt>
                <c:pt idx="77">
                  <c:v>765</c:v>
                </c:pt>
                <c:pt idx="78">
                  <c:v>770</c:v>
                </c:pt>
                <c:pt idx="79">
                  <c:v>775</c:v>
                </c:pt>
                <c:pt idx="80">
                  <c:v>780</c:v>
                </c:pt>
              </c:numCache>
            </c:numRef>
          </c:xVal>
          <c:yVal>
            <c:numRef>
              <c:f>Conversions!$S$22:$S$102</c:f>
              <c:numCache>
                <c:ptCount val="81"/>
                <c:pt idx="0">
                  <c:v>5.150599777339931E-05</c:v>
                </c:pt>
                <c:pt idx="1">
                  <c:v>9.036540531238255E-05</c:v>
                </c:pt>
                <c:pt idx="2">
                  <c:v>0.00016035146156167482</c:v>
                </c:pt>
                <c:pt idx="3">
                  <c:v>0.00028923046759385293</c:v>
                </c:pt>
                <c:pt idx="4">
                  <c:v>0.0005322787012444027</c:v>
                </c:pt>
                <c:pt idx="5">
                  <c:v>0.0010090691852865587</c:v>
                </c:pt>
                <c:pt idx="6">
                  <c:v>0.0019525317776890997</c:v>
                </c:pt>
                <c:pt idx="7">
                  <c:v>0.0032445458470227754</c:v>
                </c:pt>
                <c:pt idx="8">
                  <c:v>0.005456736890239617</c:v>
                </c:pt>
                <c:pt idx="9">
                  <c:v>0.007304695054806524</c:v>
                </c:pt>
                <c:pt idx="10">
                  <c:v>0.009795311972685995</c:v>
                </c:pt>
                <c:pt idx="11">
                  <c:v>0.012286731753224606</c:v>
                </c:pt>
                <c:pt idx="12">
                  <c:v>0.015331049479037996</c:v>
                </c:pt>
                <c:pt idx="13">
                  <c:v>0.0180747086472381</c:v>
                </c:pt>
                <c:pt idx="14">
                  <c:v>0.021131886395999916</c:v>
                </c:pt>
                <c:pt idx="15">
                  <c:v>0.024096120102463738</c:v>
                </c:pt>
                <c:pt idx="16">
                  <c:v>0.02723081190849701</c:v>
                </c:pt>
                <c:pt idx="17">
                  <c:v>0.030433951934599753</c:v>
                </c:pt>
                <c:pt idx="18">
                  <c:v>0.03372703459212615</c:v>
                </c:pt>
                <c:pt idx="19">
                  <c:v>0.03656528084936665</c:v>
                </c:pt>
                <c:pt idx="20">
                  <c:v>0.039332718445631826</c:v>
                </c:pt>
                <c:pt idx="21">
                  <c:v>0.04155303523840864</c:v>
                </c:pt>
                <c:pt idx="22">
                  <c:v>0.04356212638750426</c:v>
                </c:pt>
                <c:pt idx="23">
                  <c:v>0.04530797250022604</c:v>
                </c:pt>
                <c:pt idx="24">
                  <c:v>0.04673018038057733</c:v>
                </c:pt>
                <c:pt idx="25">
                  <c:v>0.0477601464384939</c:v>
                </c:pt>
                <c:pt idx="26">
                  <c:v>0.04832344992104811</c:v>
                </c:pt>
                <c:pt idx="27">
                  <c:v>0.048012367187164146</c:v>
                </c:pt>
                <c:pt idx="28">
                  <c:v>0.04710313220092992</c:v>
                </c:pt>
                <c:pt idx="29">
                  <c:v>0.04550875727761267</c:v>
                </c:pt>
                <c:pt idx="30">
                  <c:v>0.04328291897806083</c:v>
                </c:pt>
                <c:pt idx="31">
                  <c:v>0.040462228098755645</c:v>
                </c:pt>
                <c:pt idx="32">
                  <c:v>0.03712344707923392</c:v>
                </c:pt>
                <c:pt idx="33">
                  <c:v>0.03341748540758255</c:v>
                </c:pt>
                <c:pt idx="34">
                  <c:v>0.029435456884474197</c:v>
                </c:pt>
                <c:pt idx="35">
                  <c:v>0.025301399296740607</c:v>
                </c:pt>
                <c:pt idx="36">
                  <c:v>0.021211351886582144</c:v>
                </c:pt>
                <c:pt idx="37">
                  <c:v>0.017276067908558655</c:v>
                </c:pt>
                <c:pt idx="38">
                  <c:v>0.013684475684368147</c:v>
                </c:pt>
                <c:pt idx="39">
                  <c:v>0.010511937482254367</c:v>
                </c:pt>
                <c:pt idx="40">
                  <c:v>0.007852879241941953</c:v>
                </c:pt>
                <c:pt idx="41">
                  <c:v>0.005714952659259014</c:v>
                </c:pt>
                <c:pt idx="42">
                  <c:v>0.004063184032169466</c:v>
                </c:pt>
                <c:pt idx="43">
                  <c:v>0.0028259994390343827</c:v>
                </c:pt>
                <c:pt idx="44">
                  <c:v>0.001934966669540909</c:v>
                </c:pt>
                <c:pt idx="45">
                  <c:v>0.0013079747629810025</c:v>
                </c:pt>
                <c:pt idx="46">
                  <c:v>0.0008770650801312443</c:v>
                </c:pt>
                <c:pt idx="47">
                  <c:v>0.0005852398010257519</c:v>
                </c:pt>
                <c:pt idx="48">
                  <c:v>0.0003896068362284274</c:v>
                </c:pt>
                <c:pt idx="49">
                  <c:v>0.0002587019859299924</c:v>
                </c:pt>
                <c:pt idx="50">
                  <c:v>0.00017200460963995922</c:v>
                </c:pt>
                <c:pt idx="51">
                  <c:v>0.00011464769179512662</c:v>
                </c:pt>
                <c:pt idx="52">
                  <c:v>7.667573515072143E-05</c:v>
                </c:pt>
                <c:pt idx="53">
                  <c:v>5.142743101603872E-05</c:v>
                </c:pt>
                <c:pt idx="54">
                  <c:v>3.46474861534599E-05</c:v>
                </c:pt>
                <c:pt idx="55">
                  <c:v>2.345432617056327E-05</c:v>
                </c:pt>
                <c:pt idx="56">
                  <c:v>1.595646399601339E-05</c:v>
                </c:pt>
                <c:pt idx="57">
                  <c:v>1.091104832043231E-05</c:v>
                </c:pt>
                <c:pt idx="58">
                  <c:v>7.4996412079644735E-06</c:v>
                </c:pt>
                <c:pt idx="59">
                  <c:v>5.175684761925732E-06</c:v>
                </c:pt>
                <c:pt idx="60">
                  <c:v>3.590407094693614E-06</c:v>
                </c:pt>
                <c:pt idx="61">
                  <c:v>2.503532166628366E-06</c:v>
                </c:pt>
                <c:pt idx="62">
                  <c:v>1.7545831617735119E-06</c:v>
                </c:pt>
                <c:pt idx="63">
                  <c:v>1.2348905218477877E-06</c:v>
                </c:pt>
                <c:pt idx="64">
                  <c:v>8.734446400232226E-07</c:v>
                </c:pt>
                <c:pt idx="65">
                  <c:v>6.208131414049249E-07</c:v>
                </c:pt>
                <c:pt idx="66">
                  <c:v>4.4337326409700254E-07</c:v>
                </c:pt>
                <c:pt idx="67">
                  <c:v>3.181080454528326E-07</c:v>
                </c:pt>
                <c:pt idx="68">
                  <c:v>2.2929220587129768E-07</c:v>
                </c:pt>
                <c:pt idx="69">
                  <c:v>1.6598780375437643E-07</c:v>
                </c:pt>
                <c:pt idx="70">
                  <c:v>1.2069746967962657E-07</c:v>
                </c:pt>
                <c:pt idx="71">
                  <c:v>8.813905661848186E-08</c:v>
                </c:pt>
                <c:pt idx="72">
                  <c:v>6.46398671409847E-08</c:v>
                </c:pt>
                <c:pt idx="73">
                  <c:v>4.760016492838195E-08</c:v>
                </c:pt>
                <c:pt idx="74">
                  <c:v>3.519712078374129E-08</c:v>
                </c:pt>
                <c:pt idx="75">
                  <c:v>2.6122329113797165E-08</c:v>
                </c:pt>
                <c:pt idx="76">
                  <c:v>1.9464301754548743E-08</c:v>
                </c:pt>
                <c:pt idx="77">
                  <c:v>1.4561454264616332E-08</c:v>
                </c:pt>
                <c:pt idx="78">
                  <c:v>1.093521200116888E-08</c:v>
                </c:pt>
                <c:pt idx="79">
                  <c:v>8.241845595557166E-09</c:v>
                </c:pt>
                <c:pt idx="80">
                  <c:v>6.234700035937035E-09</c:v>
                </c:pt>
              </c:numCache>
            </c:numRef>
          </c:yVal>
          <c:smooth val="0"/>
        </c:ser>
        <c:ser>
          <c:idx val="1"/>
          <c:order val="3"/>
          <c:tx>
            <c:strRef>
              <c:f>Conversions!$R$21</c:f>
              <c:strCache>
                <c:ptCount val="1"/>
                <c:pt idx="0">
                  <c:v>mc</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Conversions!$P$22:$P$102</c:f>
              <c:numCache>
                <c:ptCount val="81"/>
                <c:pt idx="0">
                  <c:v>380</c:v>
                </c:pt>
                <c:pt idx="1">
                  <c:v>385</c:v>
                </c:pt>
                <c:pt idx="2">
                  <c:v>390</c:v>
                </c:pt>
                <c:pt idx="3">
                  <c:v>395</c:v>
                </c:pt>
                <c:pt idx="4">
                  <c:v>400</c:v>
                </c:pt>
                <c:pt idx="5">
                  <c:v>405</c:v>
                </c:pt>
                <c:pt idx="6">
                  <c:v>410</c:v>
                </c:pt>
                <c:pt idx="7">
                  <c:v>415</c:v>
                </c:pt>
                <c:pt idx="8">
                  <c:v>420</c:v>
                </c:pt>
                <c:pt idx="9">
                  <c:v>425</c:v>
                </c:pt>
                <c:pt idx="10">
                  <c:v>430</c:v>
                </c:pt>
                <c:pt idx="11">
                  <c:v>435</c:v>
                </c:pt>
                <c:pt idx="12">
                  <c:v>440</c:v>
                </c:pt>
                <c:pt idx="13">
                  <c:v>445</c:v>
                </c:pt>
                <c:pt idx="14">
                  <c:v>450</c:v>
                </c:pt>
                <c:pt idx="15">
                  <c:v>455</c:v>
                </c:pt>
                <c:pt idx="16">
                  <c:v>460</c:v>
                </c:pt>
                <c:pt idx="17">
                  <c:v>465</c:v>
                </c:pt>
                <c:pt idx="18">
                  <c:v>470</c:v>
                </c:pt>
                <c:pt idx="19">
                  <c:v>475</c:v>
                </c:pt>
                <c:pt idx="20">
                  <c:v>480</c:v>
                </c:pt>
                <c:pt idx="21">
                  <c:v>485</c:v>
                </c:pt>
                <c:pt idx="22">
                  <c:v>490</c:v>
                </c:pt>
                <c:pt idx="23">
                  <c:v>495</c:v>
                </c:pt>
                <c:pt idx="24">
                  <c:v>500</c:v>
                </c:pt>
                <c:pt idx="25">
                  <c:v>505</c:v>
                </c:pt>
                <c:pt idx="26">
                  <c:v>510</c:v>
                </c:pt>
                <c:pt idx="27">
                  <c:v>515</c:v>
                </c:pt>
                <c:pt idx="28">
                  <c:v>520</c:v>
                </c:pt>
                <c:pt idx="29">
                  <c:v>525</c:v>
                </c:pt>
                <c:pt idx="30">
                  <c:v>530</c:v>
                </c:pt>
                <c:pt idx="31">
                  <c:v>535</c:v>
                </c:pt>
                <c:pt idx="32">
                  <c:v>540</c:v>
                </c:pt>
                <c:pt idx="33">
                  <c:v>545</c:v>
                </c:pt>
                <c:pt idx="34">
                  <c:v>550</c:v>
                </c:pt>
                <c:pt idx="35">
                  <c:v>555</c:v>
                </c:pt>
                <c:pt idx="36">
                  <c:v>560</c:v>
                </c:pt>
                <c:pt idx="37">
                  <c:v>565</c:v>
                </c:pt>
                <c:pt idx="38">
                  <c:v>570</c:v>
                </c:pt>
                <c:pt idx="39">
                  <c:v>575</c:v>
                </c:pt>
                <c:pt idx="40">
                  <c:v>580</c:v>
                </c:pt>
                <c:pt idx="41">
                  <c:v>585</c:v>
                </c:pt>
                <c:pt idx="42">
                  <c:v>590</c:v>
                </c:pt>
                <c:pt idx="43">
                  <c:v>595</c:v>
                </c:pt>
                <c:pt idx="44">
                  <c:v>600</c:v>
                </c:pt>
                <c:pt idx="45">
                  <c:v>605</c:v>
                </c:pt>
                <c:pt idx="46">
                  <c:v>610</c:v>
                </c:pt>
                <c:pt idx="47">
                  <c:v>615</c:v>
                </c:pt>
                <c:pt idx="48">
                  <c:v>620</c:v>
                </c:pt>
                <c:pt idx="49">
                  <c:v>625</c:v>
                </c:pt>
                <c:pt idx="50">
                  <c:v>630</c:v>
                </c:pt>
                <c:pt idx="51">
                  <c:v>635</c:v>
                </c:pt>
                <c:pt idx="52">
                  <c:v>640</c:v>
                </c:pt>
                <c:pt idx="53">
                  <c:v>645</c:v>
                </c:pt>
                <c:pt idx="54">
                  <c:v>650</c:v>
                </c:pt>
                <c:pt idx="55">
                  <c:v>655</c:v>
                </c:pt>
                <c:pt idx="56">
                  <c:v>660</c:v>
                </c:pt>
                <c:pt idx="57">
                  <c:v>665</c:v>
                </c:pt>
                <c:pt idx="58">
                  <c:v>670</c:v>
                </c:pt>
                <c:pt idx="59">
                  <c:v>675</c:v>
                </c:pt>
                <c:pt idx="60">
                  <c:v>680</c:v>
                </c:pt>
                <c:pt idx="61">
                  <c:v>685</c:v>
                </c:pt>
                <c:pt idx="62">
                  <c:v>690</c:v>
                </c:pt>
                <c:pt idx="63">
                  <c:v>695</c:v>
                </c:pt>
                <c:pt idx="64">
                  <c:v>700</c:v>
                </c:pt>
                <c:pt idx="65">
                  <c:v>705</c:v>
                </c:pt>
                <c:pt idx="66">
                  <c:v>710</c:v>
                </c:pt>
                <c:pt idx="67">
                  <c:v>715</c:v>
                </c:pt>
                <c:pt idx="68">
                  <c:v>720</c:v>
                </c:pt>
                <c:pt idx="69">
                  <c:v>725</c:v>
                </c:pt>
                <c:pt idx="70">
                  <c:v>730</c:v>
                </c:pt>
                <c:pt idx="71">
                  <c:v>735</c:v>
                </c:pt>
                <c:pt idx="72">
                  <c:v>740</c:v>
                </c:pt>
                <c:pt idx="73">
                  <c:v>745</c:v>
                </c:pt>
                <c:pt idx="74">
                  <c:v>750</c:v>
                </c:pt>
                <c:pt idx="75">
                  <c:v>755</c:v>
                </c:pt>
                <c:pt idx="76">
                  <c:v>760</c:v>
                </c:pt>
                <c:pt idx="77">
                  <c:v>765</c:v>
                </c:pt>
                <c:pt idx="78">
                  <c:v>770</c:v>
                </c:pt>
                <c:pt idx="79">
                  <c:v>775</c:v>
                </c:pt>
                <c:pt idx="80">
                  <c:v>780</c:v>
                </c:pt>
              </c:numCache>
            </c:numRef>
          </c:xVal>
          <c:yVal>
            <c:numRef>
              <c:f>Conversions!$R$22:$R$102</c:f>
              <c:numCache>
                <c:ptCount val="81"/>
                <c:pt idx="0">
                  <c:v>3.9275815844724886E-05</c:v>
                </c:pt>
                <c:pt idx="1">
                  <c:v>6.792172979248849E-05</c:v>
                </c:pt>
                <c:pt idx="2">
                  <c:v>0.00011693268359772348</c:v>
                </c:pt>
                <c:pt idx="3">
                  <c:v>0.00020093049500229446</c:v>
                </c:pt>
                <c:pt idx="4">
                  <c:v>0.00034579900085818065</c:v>
                </c:pt>
                <c:pt idx="5">
                  <c:v>0.000603390693213793</c:v>
                </c:pt>
                <c:pt idx="6">
                  <c:v>0.0010640194132361302</c:v>
                </c:pt>
                <c:pt idx="7">
                  <c:v>0.001608730522943807</c:v>
                </c:pt>
                <c:pt idx="8">
                  <c:v>0.0024802101550633346</c:v>
                </c:pt>
                <c:pt idx="9">
                  <c:v>0.0030906429401356727</c:v>
                </c:pt>
                <c:pt idx="10">
                  <c:v>0.003937898909863819</c:v>
                </c:pt>
                <c:pt idx="11">
                  <c:v>0.004799718225743364</c:v>
                </c:pt>
                <c:pt idx="12">
                  <c:v>0.0059454977248536815</c:v>
                </c:pt>
                <c:pt idx="13">
                  <c:v>0.007088471448634686</c:v>
                </c:pt>
                <c:pt idx="14">
                  <c:v>0.008504344335913353</c:v>
                </c:pt>
                <c:pt idx="15">
                  <c:v>0.010058071462945892</c:v>
                </c:pt>
                <c:pt idx="16">
                  <c:v>0.011874107700838077</c:v>
                </c:pt>
                <c:pt idx="17">
                  <c:v>0.013922635750794221</c:v>
                </c:pt>
                <c:pt idx="18">
                  <c:v>0.016220377513129457</c:v>
                </c:pt>
                <c:pt idx="19">
                  <c:v>0.018497276095995576</c:v>
                </c:pt>
                <c:pt idx="20">
                  <c:v>0.020921267024269153</c:v>
                </c:pt>
                <c:pt idx="21">
                  <c:v>0.023222213750070803</c:v>
                </c:pt>
                <c:pt idx="22">
                  <c:v>0.025561052278214064</c:v>
                </c:pt>
                <c:pt idx="23">
                  <c:v>0.027907039755310798</c:v>
                </c:pt>
                <c:pt idx="24">
                  <c:v>0.030230678658669373</c:v>
                </c:pt>
                <c:pt idx="25">
                  <c:v>0.032503351493911516</c:v>
                </c:pt>
                <c:pt idx="26">
                  <c:v>0.03469641001109927</c:v>
                </c:pt>
                <c:pt idx="27">
                  <c:v>0.036526675752517154</c:v>
                </c:pt>
                <c:pt idx="28">
                  <c:v>0.038189606816362964</c:v>
                </c:pt>
                <c:pt idx="29">
                  <c:v>0.03960632631336154</c:v>
                </c:pt>
                <c:pt idx="30">
                  <c:v>0.040781994442184916</c:v>
                </c:pt>
                <c:pt idx="31">
                  <c:v>0.04167504925730776</c:v>
                </c:pt>
                <c:pt idx="32">
                  <c:v>0.04223995200865127</c:v>
                </c:pt>
                <c:pt idx="33">
                  <c:v>0.04247813385661461</c:v>
                </c:pt>
                <c:pt idx="34">
                  <c:v>0.04229464026714294</c:v>
                </c:pt>
                <c:pt idx="35">
                  <c:v>0.0416016289564678</c:v>
                </c:pt>
                <c:pt idx="36">
                  <c:v>0.040423491010919514</c:v>
                </c:pt>
                <c:pt idx="37">
                  <c:v>0.03866699101275617</c:v>
                </c:pt>
                <c:pt idx="38">
                  <c:v>0.036452544517350756</c:v>
                </c:pt>
                <c:pt idx="39">
                  <c:v>0.03375354403487107</c:v>
                </c:pt>
                <c:pt idx="40">
                  <c:v>0.030736937646701323</c:v>
                </c:pt>
                <c:pt idx="41">
                  <c:v>0.027498060459816964</c:v>
                </c:pt>
                <c:pt idx="42">
                  <c:v>0.024142065222483848</c:v>
                </c:pt>
                <c:pt idx="43">
                  <c:v>0.020728609620956483</c:v>
                </c:pt>
                <c:pt idx="44">
                  <c:v>0.01742404959369285</c:v>
                </c:pt>
                <c:pt idx="45">
                  <c:v>0.014304775218872131</c:v>
                </c:pt>
                <c:pt idx="46">
                  <c:v>0.011471736649780339</c:v>
                </c:pt>
                <c:pt idx="47">
                  <c:v>0.008981731963633452</c:v>
                </c:pt>
                <c:pt idx="48">
                  <c:v>0.006866738501871114</c:v>
                </c:pt>
                <c:pt idx="49">
                  <c:v>0.005119807716898503</c:v>
                </c:pt>
                <c:pt idx="50">
                  <c:v>0.003738512379957334</c:v>
                </c:pt>
                <c:pt idx="51">
                  <c:v>0.002680536163364019</c:v>
                </c:pt>
                <c:pt idx="52">
                  <c:v>0.0018929866089585795</c:v>
                </c:pt>
                <c:pt idx="53">
                  <c:v>0.0013193576436875485</c:v>
                </c:pt>
                <c:pt idx="54">
                  <c:v>0.0009113864964047258</c:v>
                </c:pt>
                <c:pt idx="55">
                  <c:v>0.0006257155253760537</c:v>
                </c:pt>
                <c:pt idx="56">
                  <c:v>0.00042798447116487796</c:v>
                </c:pt>
                <c:pt idx="57">
                  <c:v>0.00029222738896933877</c:v>
                </c:pt>
                <c:pt idx="58">
                  <c:v>0.0001995043309409742</c:v>
                </c:pt>
                <c:pt idx="59">
                  <c:v>0.00013619774810009767</c:v>
                </c:pt>
                <c:pt idx="60">
                  <c:v>9.317419946262247E-05</c:v>
                </c:pt>
                <c:pt idx="61">
                  <c:v>6.392177616775377E-05</c:v>
                </c:pt>
                <c:pt idx="62">
                  <c:v>4.4001426285087796E-05</c:v>
                </c:pt>
                <c:pt idx="63">
                  <c:v>3.037892749266851E-05</c:v>
                </c:pt>
                <c:pt idx="64">
                  <c:v>2.1059059915542128E-05</c:v>
                </c:pt>
                <c:pt idx="65">
                  <c:v>1.4660577757784078E-05</c:v>
                </c:pt>
                <c:pt idx="66">
                  <c:v>1.0250949888022828E-05</c:v>
                </c:pt>
                <c:pt idx="67">
                  <c:v>7.198816332246147E-06</c:v>
                </c:pt>
                <c:pt idx="68">
                  <c:v>5.078180983356167E-06</c:v>
                </c:pt>
                <c:pt idx="69">
                  <c:v>3.597565882099346E-06</c:v>
                </c:pt>
                <c:pt idx="70">
                  <c:v>2.5600985220973624E-06</c:v>
                </c:pt>
                <c:pt idx="71">
                  <c:v>1.8297369441322335E-06</c:v>
                </c:pt>
                <c:pt idx="72">
                  <c:v>1.3135182999799642E-06</c:v>
                </c:pt>
                <c:pt idx="73">
                  <c:v>9.469491684826165E-07</c:v>
                </c:pt>
                <c:pt idx="74">
                  <c:v>6.856225089423179E-07</c:v>
                </c:pt>
                <c:pt idx="75">
                  <c:v>4.983496513590878E-07</c:v>
                </c:pt>
                <c:pt idx="76">
                  <c:v>3.637436658823977E-07</c:v>
                </c:pt>
                <c:pt idx="77">
                  <c:v>2.666180514515804E-07</c:v>
                </c:pt>
                <c:pt idx="78">
                  <c:v>1.9621700401171296E-07</c:v>
                </c:pt>
                <c:pt idx="79">
                  <c:v>1.4496282524553945E-07</c:v>
                </c:pt>
                <c:pt idx="80">
                  <c:v>1.075151072082767E-07</c:v>
                </c:pt>
              </c:numCache>
            </c:numRef>
          </c:yVal>
          <c:smooth val="0"/>
        </c:ser>
        <c:ser>
          <c:idx val="0"/>
          <c:order val="4"/>
          <c:tx>
            <c:strRef>
              <c:f>Conversions!$Q$21</c:f>
              <c:strCache>
                <c:ptCount val="1"/>
                <c:pt idx="0">
                  <c:v>lc</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Conversions!$P$22:$P$102</c:f>
              <c:numCache>
                <c:ptCount val="81"/>
                <c:pt idx="0">
                  <c:v>380</c:v>
                </c:pt>
                <c:pt idx="1">
                  <c:v>385</c:v>
                </c:pt>
                <c:pt idx="2">
                  <c:v>390</c:v>
                </c:pt>
                <c:pt idx="3">
                  <c:v>395</c:v>
                </c:pt>
                <c:pt idx="4">
                  <c:v>400</c:v>
                </c:pt>
                <c:pt idx="5">
                  <c:v>405</c:v>
                </c:pt>
                <c:pt idx="6">
                  <c:v>410</c:v>
                </c:pt>
                <c:pt idx="7">
                  <c:v>415</c:v>
                </c:pt>
                <c:pt idx="8">
                  <c:v>420</c:v>
                </c:pt>
                <c:pt idx="9">
                  <c:v>425</c:v>
                </c:pt>
                <c:pt idx="10">
                  <c:v>430</c:v>
                </c:pt>
                <c:pt idx="11">
                  <c:v>435</c:v>
                </c:pt>
                <c:pt idx="12">
                  <c:v>440</c:v>
                </c:pt>
                <c:pt idx="13">
                  <c:v>445</c:v>
                </c:pt>
                <c:pt idx="14">
                  <c:v>450</c:v>
                </c:pt>
                <c:pt idx="15">
                  <c:v>455</c:v>
                </c:pt>
                <c:pt idx="16">
                  <c:v>460</c:v>
                </c:pt>
                <c:pt idx="17">
                  <c:v>465</c:v>
                </c:pt>
                <c:pt idx="18">
                  <c:v>470</c:v>
                </c:pt>
                <c:pt idx="19">
                  <c:v>475</c:v>
                </c:pt>
                <c:pt idx="20">
                  <c:v>480</c:v>
                </c:pt>
                <c:pt idx="21">
                  <c:v>485</c:v>
                </c:pt>
                <c:pt idx="22">
                  <c:v>490</c:v>
                </c:pt>
                <c:pt idx="23">
                  <c:v>495</c:v>
                </c:pt>
                <c:pt idx="24">
                  <c:v>500</c:v>
                </c:pt>
                <c:pt idx="25">
                  <c:v>505</c:v>
                </c:pt>
                <c:pt idx="26">
                  <c:v>510</c:v>
                </c:pt>
                <c:pt idx="27">
                  <c:v>515</c:v>
                </c:pt>
                <c:pt idx="28">
                  <c:v>520</c:v>
                </c:pt>
                <c:pt idx="29">
                  <c:v>525</c:v>
                </c:pt>
                <c:pt idx="30">
                  <c:v>530</c:v>
                </c:pt>
                <c:pt idx="31">
                  <c:v>535</c:v>
                </c:pt>
                <c:pt idx="32">
                  <c:v>540</c:v>
                </c:pt>
                <c:pt idx="33">
                  <c:v>545</c:v>
                </c:pt>
                <c:pt idx="34">
                  <c:v>550</c:v>
                </c:pt>
                <c:pt idx="35">
                  <c:v>555</c:v>
                </c:pt>
                <c:pt idx="36">
                  <c:v>560</c:v>
                </c:pt>
                <c:pt idx="37">
                  <c:v>565</c:v>
                </c:pt>
                <c:pt idx="38">
                  <c:v>570</c:v>
                </c:pt>
                <c:pt idx="39">
                  <c:v>575</c:v>
                </c:pt>
                <c:pt idx="40">
                  <c:v>580</c:v>
                </c:pt>
                <c:pt idx="41">
                  <c:v>585</c:v>
                </c:pt>
                <c:pt idx="42">
                  <c:v>590</c:v>
                </c:pt>
                <c:pt idx="43">
                  <c:v>595</c:v>
                </c:pt>
                <c:pt idx="44">
                  <c:v>600</c:v>
                </c:pt>
                <c:pt idx="45">
                  <c:v>605</c:v>
                </c:pt>
                <c:pt idx="46">
                  <c:v>610</c:v>
                </c:pt>
                <c:pt idx="47">
                  <c:v>615</c:v>
                </c:pt>
                <c:pt idx="48">
                  <c:v>620</c:v>
                </c:pt>
                <c:pt idx="49">
                  <c:v>625</c:v>
                </c:pt>
                <c:pt idx="50">
                  <c:v>630</c:v>
                </c:pt>
                <c:pt idx="51">
                  <c:v>635</c:v>
                </c:pt>
                <c:pt idx="52">
                  <c:v>640</c:v>
                </c:pt>
                <c:pt idx="53">
                  <c:v>645</c:v>
                </c:pt>
                <c:pt idx="54">
                  <c:v>650</c:v>
                </c:pt>
                <c:pt idx="55">
                  <c:v>655</c:v>
                </c:pt>
                <c:pt idx="56">
                  <c:v>660</c:v>
                </c:pt>
                <c:pt idx="57">
                  <c:v>665</c:v>
                </c:pt>
                <c:pt idx="58">
                  <c:v>670</c:v>
                </c:pt>
                <c:pt idx="59">
                  <c:v>675</c:v>
                </c:pt>
                <c:pt idx="60">
                  <c:v>680</c:v>
                </c:pt>
                <c:pt idx="61">
                  <c:v>685</c:v>
                </c:pt>
                <c:pt idx="62">
                  <c:v>690</c:v>
                </c:pt>
                <c:pt idx="63">
                  <c:v>695</c:v>
                </c:pt>
                <c:pt idx="64">
                  <c:v>700</c:v>
                </c:pt>
                <c:pt idx="65">
                  <c:v>705</c:v>
                </c:pt>
                <c:pt idx="66">
                  <c:v>710</c:v>
                </c:pt>
                <c:pt idx="67">
                  <c:v>715</c:v>
                </c:pt>
                <c:pt idx="68">
                  <c:v>720</c:v>
                </c:pt>
                <c:pt idx="69">
                  <c:v>725</c:v>
                </c:pt>
                <c:pt idx="70">
                  <c:v>730</c:v>
                </c:pt>
                <c:pt idx="71">
                  <c:v>735</c:v>
                </c:pt>
                <c:pt idx="72">
                  <c:v>740</c:v>
                </c:pt>
                <c:pt idx="73">
                  <c:v>745</c:v>
                </c:pt>
                <c:pt idx="74">
                  <c:v>750</c:v>
                </c:pt>
                <c:pt idx="75">
                  <c:v>755</c:v>
                </c:pt>
                <c:pt idx="76">
                  <c:v>760</c:v>
                </c:pt>
                <c:pt idx="77">
                  <c:v>765</c:v>
                </c:pt>
                <c:pt idx="78">
                  <c:v>770</c:v>
                </c:pt>
                <c:pt idx="79">
                  <c:v>775</c:v>
                </c:pt>
                <c:pt idx="80">
                  <c:v>780</c:v>
                </c:pt>
              </c:numCache>
            </c:numRef>
          </c:xVal>
          <c:yVal>
            <c:numRef>
              <c:f>Conversions!$Q$22:$Q$102</c:f>
              <c:numCache>
                <c:ptCount val="81"/>
                <c:pt idx="0">
                  <c:v>3.3883465526667556E-05</c:v>
                </c:pt>
                <c:pt idx="1">
                  <c:v>5.936542790286655E-05</c:v>
                </c:pt>
                <c:pt idx="2">
                  <c:v>0.00010321677173457302</c:v>
                </c:pt>
                <c:pt idx="3">
                  <c:v>0.00017822884378675775</c:v>
                </c:pt>
                <c:pt idx="4">
                  <c:v>0.00030598587257452174</c:v>
                </c:pt>
                <c:pt idx="5">
                  <c:v>0.0005273514286653295</c:v>
                </c:pt>
                <c:pt idx="6">
                  <c:v>0.0009069929370027964</c:v>
                </c:pt>
                <c:pt idx="7">
                  <c:v>0.001318076448128919</c:v>
                </c:pt>
                <c:pt idx="8">
                  <c:v>0.0019237870858203052</c:v>
                </c:pt>
                <c:pt idx="9">
                  <c:v>0.002239132893530035</c:v>
                </c:pt>
                <c:pt idx="10">
                  <c:v>0.0026404714938785302</c:v>
                </c:pt>
                <c:pt idx="11">
                  <c:v>0.002970513183317755</c:v>
                </c:pt>
                <c:pt idx="12">
                  <c:v>0.003411659167234123</c:v>
                </c:pt>
                <c:pt idx="13">
                  <c:v>0.003813009946219363</c:v>
                </c:pt>
                <c:pt idx="14">
                  <c:v>0.0043550733202197</c:v>
                </c:pt>
                <c:pt idx="15">
                  <c:v>0.004989183488908883</c:v>
                </c:pt>
                <c:pt idx="16">
                  <c:v>0.005802678934436548</c:v>
                </c:pt>
                <c:pt idx="17">
                  <c:v>0.006804103534280393</c:v>
                </c:pt>
                <c:pt idx="18">
                  <c:v>0.008025331162312143</c:v>
                </c:pt>
                <c:pt idx="19">
                  <c:v>0.00935286597208945</c:v>
                </c:pt>
                <c:pt idx="20">
                  <c:v>0.01088393224466466</c:v>
                </c:pt>
                <c:pt idx="21">
                  <c:v>0.012485350069562104</c:v>
                </c:pt>
                <c:pt idx="22">
                  <c:v>0.014240255601356604</c:v>
                </c:pt>
                <c:pt idx="23">
                  <c:v>0.016129820659373226</c:v>
                </c:pt>
                <c:pt idx="24">
                  <c:v>0.018131734944861578</c:v>
                </c:pt>
                <c:pt idx="25">
                  <c:v>0.020221437665317487</c:v>
                </c:pt>
                <c:pt idx="26">
                  <c:v>0.022373324133079513</c:v>
                </c:pt>
                <c:pt idx="27">
                  <c:v>0.02439266198747579</c:v>
                </c:pt>
                <c:pt idx="28">
                  <c:v>0.026394463949516174</c:v>
                </c:pt>
                <c:pt idx="29">
                  <c:v>0.02832243677922602</c:v>
                </c:pt>
                <c:pt idx="30">
                  <c:v>0.030182442634877748</c:v>
                </c:pt>
                <c:pt idx="31">
                  <c:v>0.031952939247087066</c:v>
                </c:pt>
                <c:pt idx="32">
                  <c:v>0.033612175159722577</c:v>
                </c:pt>
                <c:pt idx="33">
                  <c:v>0.03517762621402313</c:v>
                </c:pt>
                <c:pt idx="34">
                  <c:v>0.03658672942219762</c:v>
                </c:pt>
                <c:pt idx="35">
                  <c:v>0.03776691480207723</c:v>
                </c:pt>
                <c:pt idx="36">
                  <c:v>0.03872658052520972</c:v>
                </c:pt>
                <c:pt idx="37">
                  <c:v>0.03933937500800294</c:v>
                </c:pt>
                <c:pt idx="38">
                  <c:v>0.03965605781102625</c:v>
                </c:pt>
                <c:pt idx="39">
                  <c:v>0.039548947122435896</c:v>
                </c:pt>
                <c:pt idx="40">
                  <c:v>0.03907768171049715</c:v>
                </c:pt>
                <c:pt idx="41">
                  <c:v>0.03821874634599412</c:v>
                </c:pt>
                <c:pt idx="42">
                  <c:v>0.03696084642708962</c:v>
                </c:pt>
                <c:pt idx="43">
                  <c:v>0.03522798583171381</c:v>
                </c:pt>
                <c:pt idx="44">
                  <c:v>0.033135371066077564</c:v>
                </c:pt>
                <c:pt idx="45">
                  <c:v>0.030694110002772588</c:v>
                </c:pt>
                <c:pt idx="46">
                  <c:v>0.028009067673219517</c:v>
                </c:pt>
                <c:pt idx="47">
                  <c:v>0.02515647028679239</c:v>
                </c:pt>
                <c:pt idx="48">
                  <c:v>0.022218812668755257</c:v>
                </c:pt>
                <c:pt idx="49">
                  <c:v>0.019235074365196517</c:v>
                </c:pt>
                <c:pt idx="50">
                  <c:v>0.016342516062902004</c:v>
                </c:pt>
                <c:pt idx="51">
                  <c:v>0.013612561382356874</c:v>
                </c:pt>
                <c:pt idx="52">
                  <c:v>0.011105804873199364</c:v>
                </c:pt>
                <c:pt idx="53">
                  <c:v>0.008858754948979131</c:v>
                </c:pt>
                <c:pt idx="54">
                  <c:v>0.00691588739271175</c:v>
                </c:pt>
                <c:pt idx="55">
                  <c:v>0.005286902361989192</c:v>
                </c:pt>
                <c:pt idx="56">
                  <c:v>0.003962511644106094</c:v>
                </c:pt>
                <c:pt idx="57">
                  <c:v>0.002917290692233291</c:v>
                </c:pt>
                <c:pt idx="58">
                  <c:v>0.0021147915003718117</c:v>
                </c:pt>
                <c:pt idx="59">
                  <c:v>0.0015117893082023661</c:v>
                </c:pt>
                <c:pt idx="60">
                  <c:v>0.0010698658367300773</c:v>
                </c:pt>
                <c:pt idx="61">
                  <c:v>0.0007514538284534109</c:v>
                </c:pt>
                <c:pt idx="62">
                  <c:v>0.0005250735633460738</c:v>
                </c:pt>
                <c:pt idx="63">
                  <c:v>0.0003654310573959458</c:v>
                </c:pt>
                <c:pt idx="64">
                  <c:v>0.00025394364113411424</c:v>
                </c:pt>
                <c:pt idx="65">
                  <c:v>0.00017644487809238816</c:v>
                </c:pt>
                <c:pt idx="66">
                  <c:v>0.00012271365997680497</c:v>
                </c:pt>
                <c:pt idx="67">
                  <c:v>8.548858340824561E-05</c:v>
                </c:pt>
                <c:pt idx="68">
                  <c:v>5.970196538661153E-05</c:v>
                </c:pt>
                <c:pt idx="69">
                  <c:v>4.1807031910177356E-05</c:v>
                </c:pt>
                <c:pt idx="70">
                  <c:v>2.937312343440811E-05</c:v>
                </c:pt>
                <c:pt idx="71">
                  <c:v>2.070892473941456E-05</c:v>
                </c:pt>
                <c:pt idx="72">
                  <c:v>1.4655622251754688E-05</c:v>
                </c:pt>
                <c:pt idx="73">
                  <c:v>1.0411100506867947E-05</c:v>
                </c:pt>
                <c:pt idx="74">
                  <c:v>7.425415021595404E-06</c:v>
                </c:pt>
                <c:pt idx="75">
                  <c:v>5.315534757731571E-06</c:v>
                </c:pt>
                <c:pt idx="76">
                  <c:v>3.820619324810359E-06</c:v>
                </c:pt>
                <c:pt idx="77">
                  <c:v>2.757594742411766E-06</c:v>
                </c:pt>
                <c:pt idx="78">
                  <c:v>1.9983857750974147E-06</c:v>
                </c:pt>
                <c:pt idx="79">
                  <c:v>1.4538430547136232E-06</c:v>
                </c:pt>
                <c:pt idx="80">
                  <c:v>1.0618867341817774E-06</c:v>
                </c:pt>
              </c:numCache>
            </c:numRef>
          </c:yVal>
          <c:smooth val="0"/>
        </c:ser>
        <c:axId val="55924226"/>
        <c:axId val="33555987"/>
      </c:scatterChart>
      <c:valAx>
        <c:axId val="55924226"/>
        <c:scaling>
          <c:orientation val="minMax"/>
          <c:max val="800"/>
          <c:min val="350"/>
        </c:scaling>
        <c:axPos val="b"/>
        <c:title>
          <c:tx>
            <c:rich>
              <a:bodyPr vert="horz" rot="0" anchor="ctr"/>
              <a:lstStyle/>
              <a:p>
                <a:pPr algn="ctr">
                  <a:defRPr/>
                </a:pPr>
                <a:r>
                  <a:rPr lang="en-US" cap="none" sz="1600" b="1" i="0" u="none" baseline="0">
                    <a:latin typeface="Calibri"/>
                    <a:ea typeface="Calibri"/>
                    <a:cs typeface="Calibri"/>
                  </a:rPr>
                  <a:t>wavelength (nm)</a:t>
                </a:r>
              </a:p>
            </c:rich>
          </c:tx>
          <c:layout>
            <c:manualLayout>
              <c:xMode val="factor"/>
              <c:yMode val="factor"/>
              <c:x val="-0.03925"/>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3555987"/>
        <c:crossesAt val="1.0000000000000065E-05"/>
        <c:crossBetween val="midCat"/>
        <c:dispUnits/>
        <c:majorUnit val="50"/>
      </c:valAx>
      <c:valAx>
        <c:axId val="33555987"/>
        <c:scaling>
          <c:orientation val="minMax"/>
          <c:max val="0.11"/>
          <c:min val="0"/>
        </c:scaling>
        <c:axPos val="l"/>
        <c:title>
          <c:tx>
            <c:rich>
              <a:bodyPr vert="horz" rot="-5400000" anchor="ctr"/>
              <a:lstStyle/>
              <a:p>
                <a:pPr algn="ctr">
                  <a:defRPr/>
                </a:pPr>
                <a:r>
                  <a:rPr lang="en-US" cap="none" sz="1600" b="1" i="0" u="none" baseline="0">
                    <a:latin typeface="Calibri"/>
                    <a:ea typeface="Calibri"/>
                    <a:cs typeface="Calibri"/>
                  </a:rPr>
                  <a:t>relative absorptance</a:t>
                </a:r>
              </a:p>
            </c:rich>
          </c:tx>
          <c:layout>
            <c:manualLayout>
              <c:xMode val="factor"/>
              <c:yMode val="factor"/>
              <c:x val="-0.03175"/>
              <c:y val="-0.012"/>
            </c:manualLayout>
          </c:layout>
          <c:overlay val="0"/>
          <c:spPr>
            <a:noFill/>
            <a:ln>
              <a:noFill/>
            </a:ln>
          </c:spPr>
        </c:title>
        <c:delete val="0"/>
        <c:numFmt formatCode="0.0%" sourceLinked="0"/>
        <c:majorTickMark val="out"/>
        <c:minorTickMark val="none"/>
        <c:tickLblPos val="nextTo"/>
        <c:spPr>
          <a:ln w="3175">
            <a:solidFill>
              <a:srgbClr val="808080"/>
            </a:solidFill>
          </a:ln>
        </c:spPr>
        <c:crossAx val="55924226"/>
        <c:crosses val="autoZero"/>
        <c:crossBetween val="midCat"/>
        <c:dispUnits/>
        <c:majorUnit val="0.025000000000000012"/>
      </c:valAx>
      <c:spPr>
        <a:solidFill>
          <a:srgbClr val="FFFFFF"/>
        </a:solidFill>
        <a:ln w="3175">
          <a:noFill/>
        </a:ln>
      </c:spPr>
    </c:plotArea>
    <c:legend>
      <c:legendPos val="r"/>
      <c:layout>
        <c:manualLayout>
          <c:xMode val="edge"/>
          <c:yMode val="edge"/>
          <c:x val="0.7655"/>
          <c:y val="0.2805"/>
          <c:w val="0.12975"/>
          <c:h val="0.37275"/>
        </c:manualLayout>
      </c:layout>
      <c:overlay val="0"/>
      <c:spPr>
        <a:noFill/>
        <a:ln w="3175">
          <a:noFill/>
        </a:ln>
      </c:spPr>
      <c:txPr>
        <a:bodyPr vert="horz" rot="0"/>
        <a:lstStyle/>
        <a:p>
          <a:pPr>
            <a:defRPr lang="en-US" cap="none" sz="9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Reference!$AA$10</c:f>
              <c:strCache>
                <c:ptCount val="1"/>
                <c:pt idx="0">
                  <c:v>erythropic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Reference!$Z$11:$Z$91</c:f>
            </c:numRef>
          </c:xVal>
          <c:yVal>
            <c:numRef>
              <c:f>Reference!$AA$11:$AA$91</c:f>
            </c:numRef>
          </c:yVal>
          <c:smooth val="1"/>
        </c:ser>
        <c:ser>
          <c:idx val="1"/>
          <c:order val="1"/>
          <c:tx>
            <c:strRef>
              <c:f>Reference!$AB$10</c:f>
              <c:strCache>
                <c:ptCount val="1"/>
                <c:pt idx="0">
                  <c:v>chloropic</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xVal>
            <c:numRef>
              <c:f>Reference!$Z$11:$Z$91</c:f>
            </c:numRef>
          </c:xVal>
          <c:yVal>
            <c:numRef>
              <c:f>Reference!$AB$11:$AB$91</c:f>
            </c:numRef>
          </c:yVal>
          <c:smooth val="1"/>
        </c:ser>
        <c:ser>
          <c:idx val="2"/>
          <c:order val="2"/>
          <c:tx>
            <c:strRef>
              <c:f>Reference!$AC$10</c:f>
              <c:strCache>
                <c:ptCount val="1"/>
                <c:pt idx="0">
                  <c:v>rhodopic</c:v>
                </c:pt>
              </c:strCache>
            </c:strRef>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0713A"/>
              </a:solidFill>
              <a:ln>
                <a:solidFill>
                  <a:srgbClr val="90713A"/>
                </a:solidFill>
              </a:ln>
            </c:spPr>
          </c:marker>
          <c:xVal>
            <c:numRef>
              <c:f>Reference!$Z$11:$Z$91</c:f>
            </c:numRef>
          </c:xVal>
          <c:yVal>
            <c:numRef>
              <c:f>Reference!$AC$11:$AC$91</c:f>
            </c:numRef>
          </c:yVal>
          <c:smooth val="1"/>
        </c:ser>
        <c:ser>
          <c:idx val="3"/>
          <c:order val="3"/>
          <c:tx>
            <c:strRef>
              <c:f>Reference!$AD$10</c:f>
              <c:strCache>
                <c:ptCount val="1"/>
                <c:pt idx="0">
                  <c:v>melanopic</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Reference!$Z$11:$Z$91</c:f>
            </c:numRef>
          </c:xVal>
          <c:yVal>
            <c:numRef>
              <c:f>Reference!$AD$11:$AD$91</c:f>
            </c:numRef>
          </c:yVal>
          <c:smooth val="1"/>
        </c:ser>
        <c:ser>
          <c:idx val="4"/>
          <c:order val="4"/>
          <c:tx>
            <c:strRef>
              <c:f>Reference!$AE$10</c:f>
              <c:strCache>
                <c:ptCount val="1"/>
                <c:pt idx="0">
                  <c:v>cyanopic</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xVal>
            <c:numRef>
              <c:f>Reference!$Z$11:$Z$91</c:f>
            </c:numRef>
          </c:xVal>
          <c:yVal>
            <c:numRef>
              <c:f>Reference!$AE$11:$AE$91</c:f>
            </c:numRef>
          </c:yVal>
          <c:smooth val="1"/>
        </c:ser>
        <c:ser>
          <c:idx val="5"/>
          <c:order val="5"/>
          <c:tx>
            <c:strRef>
              <c:f>Reference!$AF$10</c:f>
              <c:strCache>
                <c:ptCount val="1"/>
                <c:pt idx="0">
                  <c:v>photopic</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xVal>
            <c:numRef>
              <c:f>Reference!$Z$11:$Z$91</c:f>
            </c:numRef>
          </c:xVal>
          <c:yVal>
            <c:numRef>
              <c:f>Reference!$AF$11:$AF$91</c:f>
            </c:numRef>
          </c:yVal>
          <c:smooth val="1"/>
        </c:ser>
        <c:ser>
          <c:idx val="6"/>
          <c:order val="6"/>
          <c:tx>
            <c:strRef>
              <c:f>Reference!$AG$10</c:f>
              <c:strCache>
                <c:ptCount val="1"/>
                <c:pt idx="0">
                  <c:v>scotopic</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69696"/>
              </a:solidFill>
              <a:ln>
                <a:solidFill>
                  <a:srgbClr val="9999FF"/>
                </a:solidFill>
              </a:ln>
            </c:spPr>
          </c:marker>
          <c:xVal>
            <c:numRef>
              <c:f>Reference!$Z$11:$Z$91</c:f>
            </c:numRef>
          </c:xVal>
          <c:yVal>
            <c:numRef>
              <c:f>Reference!$AG$11:$AG$91</c:f>
            </c:numRef>
          </c:yVal>
          <c:smooth val="1"/>
        </c:ser>
        <c:ser>
          <c:idx val="7"/>
          <c:order val="7"/>
          <c:tx>
            <c:strRef>
              <c:f>Reference!$AH$10</c:f>
              <c:strCache>
                <c:ptCount val="1"/>
                <c:pt idx="0">
                  <c:v>Enezi</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xVal>
            <c:numRef>
              <c:f>Reference!$Z$11:$Z$91</c:f>
            </c:numRef>
          </c:xVal>
          <c:yVal>
            <c:numRef>
              <c:f>Reference!$AH$11:$AH$91</c:f>
            </c:numRef>
          </c:yVal>
          <c:smooth val="1"/>
        </c:ser>
        <c:axId val="33568428"/>
        <c:axId val="33680397"/>
      </c:scatterChart>
      <c:valAx>
        <c:axId val="33568428"/>
        <c:scaling>
          <c:orientation val="minMax"/>
        </c:scaling>
        <c:axPos val="b"/>
        <c:delete val="0"/>
        <c:numFmt formatCode="General" sourceLinked="1"/>
        <c:majorTickMark val="out"/>
        <c:minorTickMark val="none"/>
        <c:tickLblPos val="nextTo"/>
        <c:spPr>
          <a:ln w="3175">
            <a:solidFill>
              <a:srgbClr val="808080"/>
            </a:solidFill>
          </a:ln>
        </c:spPr>
        <c:crossAx val="33680397"/>
        <c:crosses val="autoZero"/>
        <c:crossBetween val="midCat"/>
        <c:dispUnits/>
      </c:valAx>
      <c:valAx>
        <c:axId val="33680397"/>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568428"/>
        <c:crossesAt val="1"/>
        <c:crossBetween val="midCat"/>
        <c:dispUnits/>
      </c:valAx>
      <c:spPr>
        <a:solidFill>
          <a:srgbClr val="FFFFFF"/>
        </a:solidFill>
        <a:ln w="3175">
          <a:noFill/>
        </a:ln>
      </c:spPr>
    </c:plotArea>
    <c:legend>
      <c:legendPos val="r"/>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Standard observer pre-receptoral transmittance</a:t>
            </a:r>
          </a:p>
        </c:rich>
      </c:tx>
      <c:layout>
        <c:manualLayout>
          <c:xMode val="factor"/>
          <c:yMode val="factor"/>
          <c:x val="-0.005"/>
          <c:y val="-0.01025"/>
        </c:manualLayout>
      </c:layout>
      <c:spPr>
        <a:noFill/>
        <a:ln>
          <a:noFill/>
        </a:ln>
      </c:spPr>
    </c:title>
    <c:plotArea>
      <c:layout>
        <c:manualLayout>
          <c:xMode val="edge"/>
          <c:yMode val="edge"/>
          <c:x val="0.01775"/>
          <c:y val="0.29425"/>
          <c:w val="0.827"/>
          <c:h val="0.71"/>
        </c:manualLayout>
      </c:layout>
      <c:scatterChart>
        <c:scatterStyle val="smoothMarker"/>
        <c:varyColors val="0"/>
        <c:ser>
          <c:idx val="0"/>
          <c:order val="0"/>
          <c:tx>
            <c:strRef>
              <c:f>Reference!$K$10</c:f>
              <c:strCache>
                <c:ptCount val="1"/>
                <c:pt idx="0">
                  <c:v>T(λ)</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Reference!$J$11:$J$91</c:f>
              <c:numCache/>
            </c:numRef>
          </c:xVal>
          <c:yVal>
            <c:numRef>
              <c:f>Reference!$K$11:$K$91</c:f>
              <c:numCache/>
            </c:numRef>
          </c:yVal>
          <c:smooth val="1"/>
        </c:ser>
        <c:axId val="34688118"/>
        <c:axId val="43757607"/>
      </c:scatterChart>
      <c:valAx>
        <c:axId val="34688118"/>
        <c:scaling>
          <c:orientation val="minMax"/>
          <c:max val="800"/>
          <c:min val="350"/>
        </c:scaling>
        <c:axPos val="b"/>
        <c:delete val="0"/>
        <c:numFmt formatCode="General" sourceLinked="1"/>
        <c:majorTickMark val="out"/>
        <c:minorTickMark val="none"/>
        <c:tickLblPos val="nextTo"/>
        <c:spPr>
          <a:ln w="3175">
            <a:solidFill>
              <a:srgbClr val="808080"/>
            </a:solidFill>
          </a:ln>
        </c:spPr>
        <c:crossAx val="43757607"/>
        <c:crossesAt val="0.001"/>
        <c:crossBetween val="midCat"/>
        <c:dispUnits/>
      </c:valAx>
      <c:valAx>
        <c:axId val="43757607"/>
        <c:scaling>
          <c:logBase val="10"/>
          <c:orientation val="minMax"/>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4688118"/>
        <c:crosses val="autoZero"/>
        <c:crossBetween val="midCat"/>
        <c:dispUnits/>
      </c:valAx>
      <c:spPr>
        <a:solidFill>
          <a:srgbClr val="FFFFFF"/>
        </a:solidFill>
        <a:ln w="3175">
          <a:noFill/>
        </a:ln>
      </c:spPr>
    </c:plotArea>
    <c:legend>
      <c:legendPos val="r"/>
      <c:layout>
        <c:manualLayout>
          <c:xMode val="edge"/>
          <c:yMode val="edge"/>
          <c:x val="0.87925"/>
          <c:y val="0.58975"/>
          <c:w val="0.1035"/>
          <c:h val="0.071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5</xdr:row>
      <xdr:rowOff>47625</xdr:rowOff>
    </xdr:from>
    <xdr:to>
      <xdr:col>17</xdr:col>
      <xdr:colOff>295275</xdr:colOff>
      <xdr:row>19</xdr:row>
      <xdr:rowOff>114300</xdr:rowOff>
    </xdr:to>
    <xdr:graphicFrame>
      <xdr:nvGraphicFramePr>
        <xdr:cNvPr id="1" name="Chart 12"/>
        <xdr:cNvGraphicFramePr/>
      </xdr:nvGraphicFramePr>
      <xdr:xfrm>
        <a:off x="7800975" y="1228725"/>
        <a:ext cx="4543425" cy="2828925"/>
      </xdr:xfrm>
      <a:graphic>
        <a:graphicData uri="http://schemas.openxmlformats.org/drawingml/2006/chart">
          <c:chart xmlns:c="http://schemas.openxmlformats.org/drawingml/2006/chart" r:id="rId1"/>
        </a:graphicData>
      </a:graphic>
    </xdr:graphicFrame>
    <xdr:clientData/>
  </xdr:twoCellAnchor>
  <xdr:twoCellAnchor>
    <xdr:from>
      <xdr:col>10</xdr:col>
      <xdr:colOff>19050</xdr:colOff>
      <xdr:row>20</xdr:row>
      <xdr:rowOff>47625</xdr:rowOff>
    </xdr:from>
    <xdr:to>
      <xdr:col>17</xdr:col>
      <xdr:colOff>276225</xdr:colOff>
      <xdr:row>35</xdr:row>
      <xdr:rowOff>47625</xdr:rowOff>
    </xdr:to>
    <xdr:graphicFrame>
      <xdr:nvGraphicFramePr>
        <xdr:cNvPr id="2" name="Chart 13"/>
        <xdr:cNvGraphicFramePr/>
      </xdr:nvGraphicFramePr>
      <xdr:xfrm>
        <a:off x="7800975" y="4162425"/>
        <a:ext cx="4524375" cy="3171825"/>
      </xdr:xfrm>
      <a:graphic>
        <a:graphicData uri="http://schemas.openxmlformats.org/drawingml/2006/chart">
          <c:chart xmlns:c="http://schemas.openxmlformats.org/drawingml/2006/chart" r:id="rId2"/>
        </a:graphicData>
      </a:graphic>
    </xdr:graphicFrame>
    <xdr:clientData/>
  </xdr:twoCellAnchor>
  <xdr:twoCellAnchor>
    <xdr:from>
      <xdr:col>10</xdr:col>
      <xdr:colOff>19050</xdr:colOff>
      <xdr:row>35</xdr:row>
      <xdr:rowOff>180975</xdr:rowOff>
    </xdr:from>
    <xdr:to>
      <xdr:col>17</xdr:col>
      <xdr:colOff>276225</xdr:colOff>
      <xdr:row>55</xdr:row>
      <xdr:rowOff>47625</xdr:rowOff>
    </xdr:to>
    <xdr:graphicFrame>
      <xdr:nvGraphicFramePr>
        <xdr:cNvPr id="3" name="Chart 5"/>
        <xdr:cNvGraphicFramePr/>
      </xdr:nvGraphicFramePr>
      <xdr:xfrm>
        <a:off x="7800975" y="7467600"/>
        <a:ext cx="4524375" cy="34385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285750</xdr:colOff>
      <xdr:row>13</xdr:row>
      <xdr:rowOff>95250</xdr:rowOff>
    </xdr:from>
    <xdr:to>
      <xdr:col>21</xdr:col>
      <xdr:colOff>590550</xdr:colOff>
      <xdr:row>28</xdr:row>
      <xdr:rowOff>0</xdr:rowOff>
    </xdr:to>
    <xdr:graphicFrame>
      <xdr:nvGraphicFramePr>
        <xdr:cNvPr id="1" name="Chart 3"/>
        <xdr:cNvGraphicFramePr/>
      </xdr:nvGraphicFramePr>
      <xdr:xfrm>
        <a:off x="6781800" y="2743200"/>
        <a:ext cx="0" cy="2476500"/>
      </xdr:xfrm>
      <a:graphic>
        <a:graphicData uri="http://schemas.openxmlformats.org/drawingml/2006/chart">
          <c:chart xmlns:c="http://schemas.openxmlformats.org/drawingml/2006/chart" r:id="rId1"/>
        </a:graphicData>
      </a:graphic>
    </xdr:graphicFrame>
    <xdr:clientData/>
  </xdr:twoCellAnchor>
  <xdr:twoCellAnchor>
    <xdr:from>
      <xdr:col>34</xdr:col>
      <xdr:colOff>123825</xdr:colOff>
      <xdr:row>10</xdr:row>
      <xdr:rowOff>161925</xdr:rowOff>
    </xdr:from>
    <xdr:to>
      <xdr:col>41</xdr:col>
      <xdr:colOff>428625</xdr:colOff>
      <xdr:row>25</xdr:row>
      <xdr:rowOff>57150</xdr:rowOff>
    </xdr:to>
    <xdr:graphicFrame>
      <xdr:nvGraphicFramePr>
        <xdr:cNvPr id="2" name="Chart 5"/>
        <xdr:cNvGraphicFramePr/>
      </xdr:nvGraphicFramePr>
      <xdr:xfrm>
        <a:off x="6905625" y="2295525"/>
        <a:ext cx="4572000" cy="2466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I413"/>
  <sheetViews>
    <sheetView tabSelected="1" zoomScale="88" zoomScaleNormal="88" zoomScalePageLayoutView="0" workbookViewId="0" topLeftCell="Q58">
      <selection activeCell="AH91" sqref="AH91"/>
    </sheetView>
  </sheetViews>
  <sheetFormatPr defaultColWidth="9.140625" defaultRowHeight="15"/>
  <cols>
    <col min="1" max="1" width="9.140625" style="80" customWidth="1"/>
    <col min="2" max="2" width="10.28125" style="81" customWidth="1"/>
    <col min="3" max="3" width="9.140625" style="81" customWidth="1"/>
    <col min="4" max="4" width="18.140625" style="81" customWidth="1"/>
    <col min="5" max="5" width="13.421875" style="81" customWidth="1"/>
    <col min="6" max="6" width="9.7109375" style="81" bestFit="1" customWidth="1"/>
    <col min="7" max="7" width="10.421875" style="81" customWidth="1"/>
    <col min="8" max="8" width="9.140625" style="81" customWidth="1"/>
    <col min="9" max="9" width="18.140625" style="81" customWidth="1"/>
    <col min="10" max="18" width="9.140625" style="81" customWidth="1"/>
    <col min="19" max="20" width="9.421875" style="82" bestFit="1" customWidth="1"/>
    <col min="21" max="21" width="18.140625" style="81" customWidth="1"/>
    <col min="22" max="22" width="9.28125" style="83" bestFit="1" customWidth="1"/>
    <col min="23" max="25" width="9.28125" style="81" bestFit="1" customWidth="1"/>
    <col min="26" max="26" width="9.140625" style="81" customWidth="1"/>
    <col min="27" max="27" width="9.28125" style="83" bestFit="1" customWidth="1"/>
    <col min="28" max="29" width="9.28125" style="81" bestFit="1" customWidth="1"/>
    <col min="30" max="16384" width="9.140625" style="81" customWidth="1"/>
  </cols>
  <sheetData>
    <row r="1" ht="13.5">
      <c r="W1" s="84"/>
    </row>
    <row r="2" spans="2:30" ht="33">
      <c r="B2" s="165" t="s">
        <v>19</v>
      </c>
      <c r="D2" s="85"/>
      <c r="Q2" s="166"/>
      <c r="T2" s="165" t="s">
        <v>19</v>
      </c>
      <c r="AA2" s="157"/>
      <c r="AD2" s="166"/>
    </row>
    <row r="3" spans="7:9" ht="15" thickBot="1">
      <c r="G3" s="83"/>
      <c r="H3" s="83"/>
      <c r="I3" s="83"/>
    </row>
    <row r="4" spans="2:30" ht="15.75" thickBot="1">
      <c r="B4" s="87" t="s">
        <v>29</v>
      </c>
      <c r="D4" s="220" t="s">
        <v>155</v>
      </c>
      <c r="E4" s="221"/>
      <c r="F4" s="221"/>
      <c r="G4" s="221"/>
      <c r="H4" s="221"/>
      <c r="I4" s="222"/>
      <c r="K4" s="87" t="s">
        <v>99</v>
      </c>
      <c r="M4" s="156" t="s">
        <v>122</v>
      </c>
      <c r="N4" s="223" t="s">
        <v>15</v>
      </c>
      <c r="O4" s="224"/>
      <c r="Q4" s="144" t="s">
        <v>31</v>
      </c>
      <c r="T4" s="87" t="s">
        <v>29</v>
      </c>
      <c r="V4" s="225" t="str">
        <f>D4</f>
        <v>Enter title here for printing</v>
      </c>
      <c r="W4" s="226"/>
      <c r="X4" s="226"/>
      <c r="Y4" s="226"/>
      <c r="Z4" s="226"/>
      <c r="AA4" s="226"/>
      <c r="AB4" s="227"/>
      <c r="AD4" s="144" t="s">
        <v>30</v>
      </c>
    </row>
    <row r="5" ht="15.75" thickBot="1">
      <c r="K5" s="89"/>
    </row>
    <row r="6" spans="1:33" ht="15.75" thickBot="1">
      <c r="A6" s="90" t="s">
        <v>22</v>
      </c>
      <c r="B6" s="87" t="s">
        <v>114</v>
      </c>
      <c r="D6" s="151" t="s">
        <v>187</v>
      </c>
      <c r="K6" s="92"/>
      <c r="S6" s="158"/>
      <c r="T6" s="158" t="s">
        <v>124</v>
      </c>
      <c r="U6" s="159"/>
      <c r="V6" s="160"/>
      <c r="W6" s="157" t="s">
        <v>125</v>
      </c>
      <c r="X6" s="160"/>
      <c r="Y6" s="160"/>
      <c r="Z6" s="160"/>
      <c r="AA6" s="160"/>
      <c r="AB6" s="157" t="s">
        <v>123</v>
      </c>
      <c r="AG6" s="158" t="s">
        <v>171</v>
      </c>
    </row>
    <row r="7" spans="4:27" ht="15">
      <c r="D7" s="208" t="str">
        <f>"i. "&amp;IF($D$6&lt;&gt;"approximate mode","Enter spectral power distribution in column AH","Select illuminant details below")</f>
        <v>i. Enter spectral power distribution in column AH</v>
      </c>
      <c r="J7" s="92"/>
      <c r="K7" s="93"/>
      <c r="U7" s="82"/>
      <c r="V7" s="81"/>
      <c r="AA7" s="81"/>
    </row>
    <row r="8" spans="3:34" ht="15.75" thickBot="1">
      <c r="C8" s="94"/>
      <c r="D8" s="208" t="str">
        <f>"ii. "&amp;IF($D$6="1nm spectral data","Check using the chart opposite that the data is 1nm resolution",IF($D$6="5nm spectral data","Check using the chart opposite that the data is 5nm resolution","Example spectra A, D, F and L are not necessarily representative"))</f>
        <v>ii. Check using the chart opposite that the data is 5nm resolution</v>
      </c>
      <c r="J8" s="92"/>
      <c r="K8" s="93"/>
      <c r="S8" s="161"/>
      <c r="T8" s="161" t="s">
        <v>194</v>
      </c>
      <c r="U8" s="162" t="s">
        <v>169</v>
      </c>
      <c r="V8" s="163"/>
      <c r="W8" s="161" t="s">
        <v>194</v>
      </c>
      <c r="X8" s="161" t="s">
        <v>193</v>
      </c>
      <c r="Y8" s="161" t="s">
        <v>195</v>
      </c>
      <c r="Z8" s="161" t="s">
        <v>170</v>
      </c>
      <c r="AA8" s="163"/>
      <c r="AB8" s="161" t="s">
        <v>194</v>
      </c>
      <c r="AC8" s="161" t="s">
        <v>63</v>
      </c>
      <c r="AD8" s="164" t="str">
        <f>N4</f>
        <v>Melanopic</v>
      </c>
      <c r="AG8" s="161" t="s">
        <v>194</v>
      </c>
      <c r="AH8" s="162" t="s">
        <v>169</v>
      </c>
    </row>
    <row r="9" spans="4:34" ht="15">
      <c r="D9" s="208" t="str">
        <f>"iii. "&amp;IF($D$6&lt;&gt;"approximate mode","Skip sections 2 and 3: these inputs are not applicable in this mode","Consider enterring 1nm or 5nm spectral data for more accurate results")</f>
        <v>iii. Skip sections 2 and 3: these inputs are not applicable in this mode</v>
      </c>
      <c r="J9" s="92"/>
      <c r="K9" s="97"/>
      <c r="S9" s="95"/>
      <c r="T9" s="95">
        <v>380</v>
      </c>
      <c r="U9" s="98">
        <f aca="true" t="shared" si="0" ref="U9:U40">VLOOKUP($T9,$AG$9:$AI$413,IF($D$6="1nm spectral data",3,2),0)</f>
        <v>0</v>
      </c>
      <c r="V9" s="81"/>
      <c r="W9" s="95">
        <v>380</v>
      </c>
      <c r="X9" s="98" t="e">
        <f>Conversions!$L$6*Conversions!$N22*Conversions!$V22*Conversions!$C$9</f>
        <v>#DIV/0!</v>
      </c>
      <c r="Y9" s="98" t="e">
        <f>Conversions!$L$6*Conversions!$N22</f>
        <v>#DIV/0!</v>
      </c>
      <c r="Z9" s="99" t="e">
        <f>Conversions!$L$6*Conversions!$N22*$W9*Conversions!$C$10</f>
        <v>#DIV/0!</v>
      </c>
      <c r="AA9" s="81"/>
      <c r="AB9" s="95">
        <v>380</v>
      </c>
      <c r="AC9" s="81" t="e">
        <f>Conversions!$L$6*Conversions!N22</f>
        <v>#DIV/0!</v>
      </c>
      <c r="AD9" s="81" t="e">
        <f>Conversions!$L$6*Conversions!N22*Conversions!Y22/MAX(Conversions!$Y$22:$Y$102)</f>
        <v>#DIV/0!</v>
      </c>
      <c r="AG9" s="81">
        <f aca="true" t="shared" si="1" ref="AG9:AG72">IF(ROW()&gt;IF($D$6="1nm spectral data",413,89),"",IF($D$6="1nm spectral data",378,380)+IF($D$6="1nm spectral data",1,5)*(ROW()-9))</f>
        <v>380</v>
      </c>
      <c r="AH9" s="141">
        <v>0</v>
      </c>
    </row>
    <row r="10" spans="10:34" ht="15">
      <c r="J10" s="103"/>
      <c r="K10" s="104"/>
      <c r="S10" s="95"/>
      <c r="T10" s="95">
        <v>385</v>
      </c>
      <c r="U10" s="98">
        <f t="shared" si="0"/>
        <v>0</v>
      </c>
      <c r="V10" s="81"/>
      <c r="W10" s="95">
        <v>385</v>
      </c>
      <c r="X10" s="98" t="e">
        <f>Conversions!$L$6*Conversions!$N23*Conversions!$V23*Conversions!$C$9</f>
        <v>#DIV/0!</v>
      </c>
      <c r="Y10" s="98" t="e">
        <f>Conversions!$L$6*Conversions!$N23</f>
        <v>#DIV/0!</v>
      </c>
      <c r="Z10" s="99" t="e">
        <f>Conversions!$L$6*Conversions!$N23*$W10*Conversions!$C$10</f>
        <v>#DIV/0!</v>
      </c>
      <c r="AA10" s="81"/>
      <c r="AB10" s="95">
        <v>385</v>
      </c>
      <c r="AC10" s="81" t="e">
        <f>Conversions!N23*Conversions!$L$6</f>
        <v>#DIV/0!</v>
      </c>
      <c r="AD10" s="81" t="e">
        <f>Conversions!N23*Conversions!$L$6*Conversions!Y23/MAX(Conversions!$Y$22:$Y$102)</f>
        <v>#DIV/0!</v>
      </c>
      <c r="AG10" s="81">
        <f t="shared" si="1"/>
        <v>385</v>
      </c>
      <c r="AH10" s="142">
        <v>0</v>
      </c>
    </row>
    <row r="11" spans="1:35" ht="15.75" thickBot="1">
      <c r="A11" s="90" t="s">
        <v>21</v>
      </c>
      <c r="B11" s="87" t="s">
        <v>62</v>
      </c>
      <c r="J11" s="103"/>
      <c r="K11" s="104"/>
      <c r="S11" s="95"/>
      <c r="T11" s="95">
        <v>390</v>
      </c>
      <c r="U11" s="98">
        <f t="shared" si="0"/>
        <v>0</v>
      </c>
      <c r="V11" s="81"/>
      <c r="W11" s="95">
        <v>390</v>
      </c>
      <c r="X11" s="98" t="e">
        <f>Conversions!$L$6*Conversions!$N24*Conversions!$V24*Conversions!$C$9</f>
        <v>#DIV/0!</v>
      </c>
      <c r="Y11" s="98" t="e">
        <f>Conversions!$L$6*Conversions!$N24</f>
        <v>#DIV/0!</v>
      </c>
      <c r="Z11" s="99" t="e">
        <f>Conversions!$L$6*Conversions!$N24*$W11*Conversions!$C$10</f>
        <v>#DIV/0!</v>
      </c>
      <c r="AA11" s="81"/>
      <c r="AB11" s="95">
        <v>390</v>
      </c>
      <c r="AC11" s="81" t="e">
        <f>Conversions!N24*Conversions!$L$6</f>
        <v>#DIV/0!</v>
      </c>
      <c r="AD11" s="81" t="e">
        <f>Conversions!N24*Conversions!$L$6*Conversions!Y24/MAX(Conversions!$Y$22:$Y$102)</f>
        <v>#DIV/0!</v>
      </c>
      <c r="AG11" s="81">
        <f t="shared" si="1"/>
        <v>390</v>
      </c>
      <c r="AH11" s="142">
        <v>0</v>
      </c>
      <c r="AI11" s="201">
        <f>IF(AND($D$6="1nm spectral data",$AG11&lt;&gt;""),IF($AG11/5=INT($AG11/5),SUM($AH9:$AH13),""),"")</f>
      </c>
    </row>
    <row r="12" spans="3:35" ht="15.75" thickBot="1">
      <c r="C12" s="202" t="s">
        <v>176</v>
      </c>
      <c r="D12" s="152" t="s">
        <v>4</v>
      </c>
      <c r="E12" s="100" t="str">
        <f>"  "&amp;IF($D$6&lt;&gt;"approximate mode","n/a",IF(D12="D","daylight",IF(D12="F","fluorescent",IF(D12="L","white LED",IF(D12="A","incandescent",IF(D12="N","narrowband/monochromatic",IF(D12="B","blackbody","equal energy illuminant")))))))</f>
        <v>  n/a</v>
      </c>
      <c r="G12" s="101"/>
      <c r="H12" s="102"/>
      <c r="I12" s="202"/>
      <c r="J12" s="103"/>
      <c r="K12" s="104"/>
      <c r="S12" s="95"/>
      <c r="T12" s="95">
        <v>395</v>
      </c>
      <c r="U12" s="98">
        <f t="shared" si="0"/>
        <v>0</v>
      </c>
      <c r="V12" s="81"/>
      <c r="W12" s="95">
        <v>395</v>
      </c>
      <c r="X12" s="98" t="e">
        <f>Conversions!$L$6*Conversions!$N25*Conversions!$V25*Conversions!$C$9</f>
        <v>#DIV/0!</v>
      </c>
      <c r="Y12" s="98" t="e">
        <f>Conversions!$L$6*Conversions!$N25</f>
        <v>#DIV/0!</v>
      </c>
      <c r="Z12" s="99" t="e">
        <f>Conversions!$L$6*Conversions!$N25*$W12*Conversions!$C$10</f>
        <v>#DIV/0!</v>
      </c>
      <c r="AA12" s="81"/>
      <c r="AB12" s="95">
        <v>395</v>
      </c>
      <c r="AC12" s="81" t="e">
        <f>Conversions!N25*Conversions!$L$6</f>
        <v>#DIV/0!</v>
      </c>
      <c r="AD12" s="81" t="e">
        <f>Conversions!N25*Conversions!$L$6*Conversions!Y25/MAX(Conversions!$Y$22:$Y$102)</f>
        <v>#DIV/0!</v>
      </c>
      <c r="AG12" s="81">
        <f t="shared" si="1"/>
        <v>395</v>
      </c>
      <c r="AH12" s="142">
        <v>0</v>
      </c>
      <c r="AI12" s="201">
        <f aca="true" t="shared" si="2" ref="AI12:AI75">IF(AND($D$6="1nm spectral data",$AG12&lt;&gt;""),IF($AG12/5=INT($AG12/5),SUM($AH10:$AH14),""),"")</f>
      </c>
    </row>
    <row r="13" spans="1:35" ht="15.75" thickBot="1">
      <c r="A13" s="90"/>
      <c r="C13" s="202" t="s">
        <v>177</v>
      </c>
      <c r="D13" s="184" t="s">
        <v>143</v>
      </c>
      <c r="E13" s="100" t="str">
        <f>"  "&amp;IF($D$6&lt;&gt;"approximate mode","n/a",IF(D13="L","illuminance",IF(D13="P","irradiance",IF(D13="Q","log (photon flux)",""))))</f>
        <v>  n/a</v>
      </c>
      <c r="F13" s="101"/>
      <c r="J13" s="92"/>
      <c r="K13" s="104"/>
      <c r="S13" s="95"/>
      <c r="T13" s="95">
        <v>400</v>
      </c>
      <c r="U13" s="98">
        <f t="shared" si="0"/>
        <v>0</v>
      </c>
      <c r="V13" s="81"/>
      <c r="W13" s="95">
        <v>400</v>
      </c>
      <c r="X13" s="98" t="e">
        <f>Conversions!$L$6*Conversions!$N26*Conversions!$V26*Conversions!$C$9</f>
        <v>#DIV/0!</v>
      </c>
      <c r="Y13" s="98" t="e">
        <f>Conversions!$L$6*Conversions!$N26</f>
        <v>#DIV/0!</v>
      </c>
      <c r="Z13" s="99" t="e">
        <f>Conversions!$L$6*Conversions!$N26*$W13*Conversions!$C$10</f>
        <v>#DIV/0!</v>
      </c>
      <c r="AA13" s="81"/>
      <c r="AB13" s="95">
        <v>400</v>
      </c>
      <c r="AC13" s="81" t="e">
        <f>Conversions!N26*Conversions!$L$6</f>
        <v>#DIV/0!</v>
      </c>
      <c r="AD13" s="81" t="e">
        <f>Conversions!N26*Conversions!$L$6*Conversions!Y26/MAX(Conversions!$Y$22:$Y$102)</f>
        <v>#DIV/0!</v>
      </c>
      <c r="AG13" s="81">
        <f t="shared" si="1"/>
        <v>400</v>
      </c>
      <c r="AH13" s="142">
        <v>0</v>
      </c>
      <c r="AI13" s="201">
        <f t="shared" si="2"/>
      </c>
    </row>
    <row r="14" spans="1:35" ht="15.75" thickBot="1">
      <c r="A14" s="90"/>
      <c r="C14" s="202" t="s">
        <v>178</v>
      </c>
      <c r="D14" s="154">
        <v>100</v>
      </c>
      <c r="E14" s="91" t="str">
        <f>"  "&amp;IF($D$6&lt;&gt;"approximate mode","n/a",IF($D$13="Q","log"&amp;G14&amp;" (1/cm"&amp;H14&amp;"/s)",IF($D$13="L","lux",I14&amp;"W/cm"&amp;H14)))</f>
        <v>  n/a</v>
      </c>
      <c r="F14" s="203"/>
      <c r="G14" s="205" t="s">
        <v>157</v>
      </c>
      <c r="H14" s="205" t="s">
        <v>158</v>
      </c>
      <c r="I14" s="209" t="s">
        <v>168</v>
      </c>
      <c r="J14" s="101"/>
      <c r="K14" s="104"/>
      <c r="S14" s="95"/>
      <c r="T14" s="95">
        <v>405</v>
      </c>
      <c r="U14" s="98">
        <f t="shared" si="0"/>
        <v>0</v>
      </c>
      <c r="V14" s="81"/>
      <c r="W14" s="95">
        <v>405</v>
      </c>
      <c r="X14" s="98" t="e">
        <f>Conversions!$L$6*Conversions!$N27*Conversions!$V27*Conversions!$C$9</f>
        <v>#DIV/0!</v>
      </c>
      <c r="Y14" s="98" t="e">
        <f>Conversions!$L$6*Conversions!$N27</f>
        <v>#DIV/0!</v>
      </c>
      <c r="Z14" s="99" t="e">
        <f>Conversions!$L$6*Conversions!$N27*$W14*Conversions!$C$10</f>
        <v>#DIV/0!</v>
      </c>
      <c r="AA14" s="81"/>
      <c r="AB14" s="95">
        <v>405</v>
      </c>
      <c r="AC14" s="81" t="e">
        <f>Conversions!N27*Conversions!$L$6</f>
        <v>#DIV/0!</v>
      </c>
      <c r="AD14" s="81" t="e">
        <f>Conversions!N27*Conversions!$L$6*Conversions!Y27/MAX(Conversions!$Y$22:$Y$102)</f>
        <v>#DIV/0!</v>
      </c>
      <c r="AG14" s="81">
        <f t="shared" si="1"/>
        <v>405</v>
      </c>
      <c r="AH14" s="142">
        <v>0</v>
      </c>
      <c r="AI14" s="201">
        <f t="shared" si="2"/>
      </c>
    </row>
    <row r="15" spans="1:35" ht="15">
      <c r="A15" s="90"/>
      <c r="J15" s="93"/>
      <c r="K15" s="92"/>
      <c r="S15" s="95"/>
      <c r="T15" s="95">
        <v>410</v>
      </c>
      <c r="U15" s="98">
        <f t="shared" si="0"/>
        <v>0</v>
      </c>
      <c r="V15" s="81"/>
      <c r="W15" s="95">
        <v>410</v>
      </c>
      <c r="X15" s="98" t="e">
        <f>Conversions!$L$6*Conversions!$N28*Conversions!$V28*Conversions!$C$9</f>
        <v>#DIV/0!</v>
      </c>
      <c r="Y15" s="98" t="e">
        <f>Conversions!$L$6*Conversions!$N28</f>
        <v>#DIV/0!</v>
      </c>
      <c r="Z15" s="99" t="e">
        <f>Conversions!$L$6*Conversions!$N28*$W15*Conversions!$C$10</f>
        <v>#DIV/0!</v>
      </c>
      <c r="AA15" s="81"/>
      <c r="AB15" s="95">
        <v>410</v>
      </c>
      <c r="AC15" s="81" t="e">
        <f>Conversions!N28*Conversions!$L$6</f>
        <v>#DIV/0!</v>
      </c>
      <c r="AD15" s="81" t="e">
        <f>Conversions!N28*Conversions!$L$6*Conversions!Y28/MAX(Conversions!$Y$22:$Y$102)</f>
        <v>#DIV/0!</v>
      </c>
      <c r="AG15" s="81">
        <f t="shared" si="1"/>
        <v>410</v>
      </c>
      <c r="AH15" s="142">
        <v>0</v>
      </c>
      <c r="AI15" s="201">
        <f t="shared" si="2"/>
      </c>
    </row>
    <row r="16" spans="1:35" ht="15.75" thickBot="1">
      <c r="A16" s="90" t="s">
        <v>20</v>
      </c>
      <c r="B16" s="87" t="s">
        <v>120</v>
      </c>
      <c r="J16" s="101"/>
      <c r="K16" s="92"/>
      <c r="S16" s="95"/>
      <c r="T16" s="95">
        <v>415</v>
      </c>
      <c r="U16" s="98">
        <f t="shared" si="0"/>
        <v>0</v>
      </c>
      <c r="V16" s="81"/>
      <c r="W16" s="95">
        <v>415</v>
      </c>
      <c r="X16" s="98" t="e">
        <f>Conversions!$L$6*Conversions!$N29*Conversions!$V29*Conversions!$C$9</f>
        <v>#DIV/0!</v>
      </c>
      <c r="Y16" s="98" t="e">
        <f>Conversions!$L$6*Conversions!$N29</f>
        <v>#DIV/0!</v>
      </c>
      <c r="Z16" s="99" t="e">
        <f>Conversions!$L$6*Conversions!$N29*$W16*Conversions!$C$10</f>
        <v>#DIV/0!</v>
      </c>
      <c r="AA16" s="81"/>
      <c r="AB16" s="95">
        <v>415</v>
      </c>
      <c r="AC16" s="81" t="e">
        <f>Conversions!N29*Conversions!$L$6</f>
        <v>#DIV/0!</v>
      </c>
      <c r="AD16" s="81" t="e">
        <f>Conversions!N29*Conversions!$L$6*Conversions!Y29/MAX(Conversions!$Y$22:$Y$102)</f>
        <v>#DIV/0!</v>
      </c>
      <c r="AG16" s="81">
        <f t="shared" si="1"/>
        <v>415</v>
      </c>
      <c r="AH16" s="142">
        <v>0</v>
      </c>
      <c r="AI16" s="201">
        <f t="shared" si="2"/>
      </c>
    </row>
    <row r="17" spans="1:35" ht="15.75" thickBot="1">
      <c r="A17" s="90"/>
      <c r="C17" s="202" t="s">
        <v>173</v>
      </c>
      <c r="D17" s="155">
        <v>4200</v>
      </c>
      <c r="E17" s="100" t="str">
        <f>"  "&amp;IF($D$12="B","K","n/a")</f>
        <v>  n/a</v>
      </c>
      <c r="F17" s="87"/>
      <c r="J17" s="101"/>
      <c r="K17" s="92"/>
      <c r="S17" s="95"/>
      <c r="T17" s="95">
        <v>420</v>
      </c>
      <c r="U17" s="98">
        <f t="shared" si="0"/>
        <v>0</v>
      </c>
      <c r="V17" s="81"/>
      <c r="W17" s="95">
        <v>420</v>
      </c>
      <c r="X17" s="98" t="e">
        <f>Conversions!$L$6*Conversions!$N30*Conversions!$V30*Conversions!$C$9</f>
        <v>#DIV/0!</v>
      </c>
      <c r="Y17" s="98" t="e">
        <f>Conversions!$L$6*Conversions!$N30</f>
        <v>#DIV/0!</v>
      </c>
      <c r="Z17" s="99" t="e">
        <f>Conversions!$L$6*Conversions!$N30*$W17*Conversions!$C$10</f>
        <v>#DIV/0!</v>
      </c>
      <c r="AA17" s="81"/>
      <c r="AB17" s="95">
        <v>420</v>
      </c>
      <c r="AC17" s="81" t="e">
        <f>Conversions!N30*Conversions!$L$6</f>
        <v>#DIV/0!</v>
      </c>
      <c r="AD17" s="81" t="e">
        <f>Conversions!N30*Conversions!$L$6*Conversions!Y30/MAX(Conversions!$Y$22:$Y$102)</f>
        <v>#DIV/0!</v>
      </c>
      <c r="AG17" s="81">
        <f t="shared" si="1"/>
        <v>420</v>
      </c>
      <c r="AH17" s="142">
        <v>0</v>
      </c>
      <c r="AI17" s="201">
        <f t="shared" si="2"/>
      </c>
    </row>
    <row r="18" spans="1:35" ht="15.75" thickBot="1">
      <c r="A18" s="90"/>
      <c r="C18" s="202" t="s">
        <v>174</v>
      </c>
      <c r="D18" s="155">
        <v>420</v>
      </c>
      <c r="E18" s="100" t="str">
        <f>"  "&amp;IF($D$12="N","nm","n/a")</f>
        <v>  n/a</v>
      </c>
      <c r="F18" s="87"/>
      <c r="G18" s="97"/>
      <c r="H18" s="105"/>
      <c r="I18" s="106" t="s">
        <v>194</v>
      </c>
      <c r="S18" s="95"/>
      <c r="T18" s="95">
        <v>425</v>
      </c>
      <c r="U18" s="98">
        <f t="shared" si="0"/>
        <v>0</v>
      </c>
      <c r="V18" s="81"/>
      <c r="W18" s="95">
        <v>425</v>
      </c>
      <c r="X18" s="98" t="e">
        <f>Conversions!$L$6*Conversions!$N31*Conversions!$V31*Conversions!$C$9</f>
        <v>#DIV/0!</v>
      </c>
      <c r="Y18" s="98" t="e">
        <f>Conversions!$L$6*Conversions!$N31</f>
        <v>#DIV/0!</v>
      </c>
      <c r="Z18" s="99" t="e">
        <f>Conversions!$L$6*Conversions!$N31*$W18*Conversions!$C$10</f>
        <v>#DIV/0!</v>
      </c>
      <c r="AA18" s="81"/>
      <c r="AB18" s="95">
        <v>425</v>
      </c>
      <c r="AC18" s="81" t="e">
        <f>Conversions!N31*Conversions!$L$6</f>
        <v>#DIV/0!</v>
      </c>
      <c r="AD18" s="81" t="e">
        <f>Conversions!N31*Conversions!$L$6*Conversions!Y31/MAX(Conversions!$Y$22:$Y$102)</f>
        <v>#DIV/0!</v>
      </c>
      <c r="AG18" s="81">
        <f t="shared" si="1"/>
        <v>425</v>
      </c>
      <c r="AH18" s="142">
        <v>0</v>
      </c>
      <c r="AI18" s="201">
        <f t="shared" si="2"/>
      </c>
    </row>
    <row r="19" spans="1:35" ht="15.75" thickBot="1">
      <c r="A19" s="90"/>
      <c r="C19" s="202" t="s">
        <v>175</v>
      </c>
      <c r="D19" s="153">
        <v>42</v>
      </c>
      <c r="E19" s="100" t="str">
        <f>"  "&amp;IF($D$12="N","nm","n/a")</f>
        <v>  n/a</v>
      </c>
      <c r="F19" s="96" t="s">
        <v>121</v>
      </c>
      <c r="I19" s="108" t="e">
        <f>Conversions!L10</f>
        <v>#DIV/0!</v>
      </c>
      <c r="S19" s="95"/>
      <c r="T19" s="95">
        <v>430</v>
      </c>
      <c r="U19" s="98">
        <f t="shared" si="0"/>
        <v>0</v>
      </c>
      <c r="V19" s="81"/>
      <c r="W19" s="95">
        <v>430</v>
      </c>
      <c r="X19" s="98" t="e">
        <f>Conversions!$L$6*Conversions!$N32*Conversions!$V32*Conversions!$C$9</f>
        <v>#DIV/0!</v>
      </c>
      <c r="Y19" s="98" t="e">
        <f>Conversions!$L$6*Conversions!$N32</f>
        <v>#DIV/0!</v>
      </c>
      <c r="Z19" s="99" t="e">
        <f>Conversions!$L$6*Conversions!$N32*$W19*Conversions!$C$10</f>
        <v>#DIV/0!</v>
      </c>
      <c r="AA19" s="81"/>
      <c r="AB19" s="95">
        <v>430</v>
      </c>
      <c r="AC19" s="81" t="e">
        <f>Conversions!N32*Conversions!$L$6</f>
        <v>#DIV/0!</v>
      </c>
      <c r="AD19" s="81" t="e">
        <f>Conversions!N32*Conversions!$L$6*Conversions!Y32/MAX(Conversions!$Y$22:$Y$102)</f>
        <v>#DIV/0!</v>
      </c>
      <c r="AG19" s="81">
        <f t="shared" si="1"/>
        <v>430</v>
      </c>
      <c r="AH19" s="142">
        <v>0</v>
      </c>
      <c r="AI19" s="201">
        <f t="shared" si="2"/>
      </c>
    </row>
    <row r="20" spans="9:35" ht="13.5">
      <c r="I20" s="82"/>
      <c r="S20" s="95"/>
      <c r="T20" s="95">
        <v>435</v>
      </c>
      <c r="U20" s="98">
        <f t="shared" si="0"/>
        <v>0</v>
      </c>
      <c r="V20" s="81"/>
      <c r="W20" s="95">
        <v>435</v>
      </c>
      <c r="X20" s="98" t="e">
        <f>Conversions!$L$6*Conversions!$N33*Conversions!$V33*Conversions!$C$9</f>
        <v>#DIV/0!</v>
      </c>
      <c r="Y20" s="98" t="e">
        <f>Conversions!$L$6*Conversions!$N33</f>
        <v>#DIV/0!</v>
      </c>
      <c r="Z20" s="99" t="e">
        <f>Conversions!$L$6*Conversions!$N33*$W20*Conversions!$C$10</f>
        <v>#DIV/0!</v>
      </c>
      <c r="AA20" s="81"/>
      <c r="AB20" s="95">
        <v>435</v>
      </c>
      <c r="AC20" s="81" t="e">
        <f>Conversions!N33*Conversions!$L$6</f>
        <v>#DIV/0!</v>
      </c>
      <c r="AD20" s="81" t="e">
        <f>Conversions!N33*Conversions!$L$6*Conversions!Y33/MAX(Conversions!$Y$22:$Y$102)</f>
        <v>#DIV/0!</v>
      </c>
      <c r="AG20" s="81">
        <f t="shared" si="1"/>
        <v>435</v>
      </c>
      <c r="AH20" s="142">
        <v>0</v>
      </c>
      <c r="AI20" s="201">
        <f t="shared" si="2"/>
      </c>
    </row>
    <row r="21" spans="1:35" ht="15">
      <c r="A21" s="90" t="s">
        <v>23</v>
      </c>
      <c r="B21" s="87" t="s">
        <v>103</v>
      </c>
      <c r="I21" s="82"/>
      <c r="S21" s="95"/>
      <c r="T21" s="95">
        <v>440</v>
      </c>
      <c r="U21" s="98">
        <f t="shared" si="0"/>
        <v>0</v>
      </c>
      <c r="V21" s="81"/>
      <c r="W21" s="95">
        <v>440</v>
      </c>
      <c r="X21" s="98" t="e">
        <f>Conversions!$L$6*Conversions!$N34*Conversions!$V34*Conversions!$C$9</f>
        <v>#DIV/0!</v>
      </c>
      <c r="Y21" s="98" t="e">
        <f>Conversions!$L$6*Conversions!$N34</f>
        <v>#DIV/0!</v>
      </c>
      <c r="Z21" s="99" t="e">
        <f>Conversions!$L$6*Conversions!$N34*$W21*Conversions!$C$10</f>
        <v>#DIV/0!</v>
      </c>
      <c r="AA21" s="81"/>
      <c r="AB21" s="95">
        <v>440</v>
      </c>
      <c r="AC21" s="81" t="e">
        <f>Conversions!N34*Conversions!$L$6</f>
        <v>#DIV/0!</v>
      </c>
      <c r="AD21" s="81" t="e">
        <f>Conversions!N34*Conversions!$L$6*Conversions!Y34/MAX(Conversions!$Y$22:$Y$102)</f>
        <v>#DIV/0!</v>
      </c>
      <c r="AG21" s="81">
        <f t="shared" si="1"/>
        <v>440</v>
      </c>
      <c r="AH21" s="142">
        <v>0</v>
      </c>
      <c r="AI21" s="201">
        <f t="shared" si="2"/>
      </c>
    </row>
    <row r="22" spans="1:35" ht="18.75" thickBot="1">
      <c r="A22" s="90"/>
      <c r="D22" s="91" t="s">
        <v>105</v>
      </c>
      <c r="E22" s="91" t="s">
        <v>106</v>
      </c>
      <c r="F22" s="96" t="s">
        <v>162</v>
      </c>
      <c r="G22" s="91" t="s">
        <v>111</v>
      </c>
      <c r="H22" s="109" t="s">
        <v>112</v>
      </c>
      <c r="I22" s="110" t="s">
        <v>102</v>
      </c>
      <c r="S22" s="95"/>
      <c r="T22" s="95">
        <v>445</v>
      </c>
      <c r="U22" s="98">
        <f t="shared" si="0"/>
        <v>0</v>
      </c>
      <c r="V22" s="81"/>
      <c r="W22" s="95">
        <v>445</v>
      </c>
      <c r="X22" s="98" t="e">
        <f>Conversions!$L$6*Conversions!$N35*Conversions!$V35*Conversions!$C$9</f>
        <v>#DIV/0!</v>
      </c>
      <c r="Y22" s="98" t="e">
        <f>Conversions!$L$6*Conversions!$N35</f>
        <v>#DIV/0!</v>
      </c>
      <c r="Z22" s="99" t="e">
        <f>Conversions!$L$6*Conversions!$N35*$W22*Conversions!$C$10</f>
        <v>#DIV/0!</v>
      </c>
      <c r="AA22" s="81"/>
      <c r="AB22" s="95">
        <v>445</v>
      </c>
      <c r="AC22" s="81" t="e">
        <f>Conversions!N35*Conversions!$L$6</f>
        <v>#DIV/0!</v>
      </c>
      <c r="AD22" s="81" t="e">
        <f>Conversions!N35*Conversions!$L$6*Conversions!Y35/MAX(Conversions!$Y$22:$Y$102)</f>
        <v>#DIV/0!</v>
      </c>
      <c r="AG22" s="81">
        <f t="shared" si="1"/>
        <v>445</v>
      </c>
      <c r="AH22" s="142">
        <v>0</v>
      </c>
      <c r="AI22" s="201">
        <f t="shared" si="2"/>
      </c>
    </row>
    <row r="23" spans="1:35" ht="15.75" thickBot="1">
      <c r="A23" s="90"/>
      <c r="D23" s="107" t="s">
        <v>104</v>
      </c>
      <c r="E23" s="111" t="s">
        <v>108</v>
      </c>
      <c r="F23" s="112">
        <v>555</v>
      </c>
      <c r="G23" s="81" t="s">
        <v>110</v>
      </c>
      <c r="H23" s="86" t="s">
        <v>107</v>
      </c>
      <c r="I23" s="145" t="e">
        <f>Conversions!L5</f>
        <v>#DIV/0!</v>
      </c>
      <c r="J23" s="114"/>
      <c r="K23" s="114"/>
      <c r="S23" s="95"/>
      <c r="T23" s="95">
        <v>450</v>
      </c>
      <c r="U23" s="98">
        <f t="shared" si="0"/>
        <v>0</v>
      </c>
      <c r="V23" s="81"/>
      <c r="W23" s="95">
        <v>450</v>
      </c>
      <c r="X23" s="98" t="e">
        <f>Conversions!$L$6*Conversions!$N36*Conversions!$V36*Conversions!$C$9</f>
        <v>#DIV/0!</v>
      </c>
      <c r="Y23" s="98" t="e">
        <f>Conversions!$L$6*Conversions!$N36</f>
        <v>#DIV/0!</v>
      </c>
      <c r="Z23" s="99" t="e">
        <f>Conversions!$L$6*Conversions!$N36*$W23*Conversions!$C$10</f>
        <v>#DIV/0!</v>
      </c>
      <c r="AA23" s="81"/>
      <c r="AB23" s="95">
        <v>450</v>
      </c>
      <c r="AC23" s="81" t="e">
        <f>Conversions!N36*Conversions!$L$6</f>
        <v>#DIV/0!</v>
      </c>
      <c r="AD23" s="81" t="e">
        <f>Conversions!N36*Conversions!$L$6*Conversions!Y36/MAX(Conversions!$Y$22:$Y$102)</f>
        <v>#DIV/0!</v>
      </c>
      <c r="AG23" s="81">
        <f t="shared" si="1"/>
        <v>450</v>
      </c>
      <c r="AH23" s="142">
        <v>0</v>
      </c>
      <c r="AI23" s="201">
        <f t="shared" si="2"/>
      </c>
    </row>
    <row r="24" spans="1:35" ht="15">
      <c r="A24" s="90"/>
      <c r="C24" s="92"/>
      <c r="H24" s="113"/>
      <c r="I24" s="82"/>
      <c r="J24" s="114"/>
      <c r="K24" s="114"/>
      <c r="S24" s="95"/>
      <c r="T24" s="95">
        <v>455</v>
      </c>
      <c r="U24" s="98">
        <f t="shared" si="0"/>
        <v>0</v>
      </c>
      <c r="V24" s="81"/>
      <c r="W24" s="95">
        <v>455</v>
      </c>
      <c r="X24" s="98" t="e">
        <f>Conversions!$L$6*Conversions!$N37*Conversions!$V37*Conversions!$C$9</f>
        <v>#DIV/0!</v>
      </c>
      <c r="Y24" s="98" t="e">
        <f>Conversions!$L$6*Conversions!$N37</f>
        <v>#DIV/0!</v>
      </c>
      <c r="Z24" s="99" t="e">
        <f>Conversions!$L$6*Conversions!$N37*$W24*Conversions!$C$10</f>
        <v>#DIV/0!</v>
      </c>
      <c r="AA24" s="81"/>
      <c r="AB24" s="95">
        <v>455</v>
      </c>
      <c r="AC24" s="81" t="e">
        <f>Conversions!N37*Conversions!$L$6</f>
        <v>#DIV/0!</v>
      </c>
      <c r="AD24" s="81" t="e">
        <f>Conversions!N37*Conversions!$L$6*Conversions!Y37/MAX(Conversions!$Y$22:$Y$102)</f>
        <v>#DIV/0!</v>
      </c>
      <c r="AG24" s="81">
        <f t="shared" si="1"/>
        <v>455</v>
      </c>
      <c r="AH24" s="142">
        <v>0</v>
      </c>
      <c r="AI24" s="201">
        <f t="shared" si="2"/>
      </c>
    </row>
    <row r="25" spans="1:35" ht="15">
      <c r="A25" s="90" t="s">
        <v>109</v>
      </c>
      <c r="B25" s="87" t="s">
        <v>32</v>
      </c>
      <c r="C25" s="114"/>
      <c r="D25" s="114"/>
      <c r="E25" s="114"/>
      <c r="F25" s="114"/>
      <c r="H25" s="115"/>
      <c r="I25" s="110"/>
      <c r="J25" s="114"/>
      <c r="K25" s="114"/>
      <c r="S25" s="95"/>
      <c r="T25" s="95">
        <v>460</v>
      </c>
      <c r="U25" s="98">
        <f t="shared" si="0"/>
        <v>0</v>
      </c>
      <c r="V25" s="81"/>
      <c r="W25" s="95">
        <v>460</v>
      </c>
      <c r="X25" s="98" t="e">
        <f>Conversions!$L$6*Conversions!$N38*Conversions!$V38*Conversions!$C$9</f>
        <v>#DIV/0!</v>
      </c>
      <c r="Y25" s="98" t="e">
        <f>Conversions!$L$6*Conversions!$N38</f>
        <v>#DIV/0!</v>
      </c>
      <c r="Z25" s="99" t="e">
        <f>Conversions!$L$6*Conversions!$N38*$W25*Conversions!$C$10</f>
        <v>#DIV/0!</v>
      </c>
      <c r="AA25" s="81"/>
      <c r="AB25" s="95">
        <v>460</v>
      </c>
      <c r="AC25" s="81" t="e">
        <f>Conversions!N38*Conversions!$L$6</f>
        <v>#DIV/0!</v>
      </c>
      <c r="AD25" s="81" t="e">
        <f>Conversions!N38*Conversions!$L$6*Conversions!Y38/MAX(Conversions!$Y$22:$Y$102)</f>
        <v>#DIV/0!</v>
      </c>
      <c r="AG25" s="81">
        <f t="shared" si="1"/>
        <v>460</v>
      </c>
      <c r="AH25" s="142">
        <v>0</v>
      </c>
      <c r="AI25" s="201">
        <f t="shared" si="2"/>
      </c>
    </row>
    <row r="26" spans="2:35" ht="18.75" thickBot="1">
      <c r="B26" s="114"/>
      <c r="D26" s="91" t="s">
        <v>64</v>
      </c>
      <c r="E26" s="91" t="s">
        <v>106</v>
      </c>
      <c r="F26" s="96" t="s">
        <v>162</v>
      </c>
      <c r="G26" s="206" t="s">
        <v>163</v>
      </c>
      <c r="H26" s="109" t="s">
        <v>112</v>
      </c>
      <c r="I26" s="110" t="s">
        <v>101</v>
      </c>
      <c r="J26" s="114"/>
      <c r="K26" s="114"/>
      <c r="S26" s="95"/>
      <c r="T26" s="95">
        <v>465</v>
      </c>
      <c r="U26" s="98">
        <f t="shared" si="0"/>
        <v>0</v>
      </c>
      <c r="V26" s="81"/>
      <c r="W26" s="95">
        <v>465</v>
      </c>
      <c r="X26" s="98" t="e">
        <f>Conversions!$L$6*Conversions!$N39*Conversions!$V39*Conversions!$C$9</f>
        <v>#DIV/0!</v>
      </c>
      <c r="Y26" s="98" t="e">
        <f>Conversions!$L$6*Conversions!$N39</f>
        <v>#DIV/0!</v>
      </c>
      <c r="Z26" s="99" t="e">
        <f>Conversions!$L$6*Conversions!$N39*$W26*Conversions!$C$10</f>
        <v>#DIV/0!</v>
      </c>
      <c r="AA26" s="81"/>
      <c r="AB26" s="95">
        <v>465</v>
      </c>
      <c r="AC26" s="81" t="e">
        <f>Conversions!N39*Conversions!$L$6</f>
        <v>#DIV/0!</v>
      </c>
      <c r="AD26" s="81" t="e">
        <f>Conversions!N39*Conversions!$L$6*Conversions!Y39/MAX(Conversions!$Y$22:$Y$102)</f>
        <v>#DIV/0!</v>
      </c>
      <c r="AG26" s="81">
        <f t="shared" si="1"/>
        <v>465</v>
      </c>
      <c r="AH26" s="142">
        <v>0</v>
      </c>
      <c r="AI26" s="201">
        <f t="shared" si="2"/>
      </c>
    </row>
    <row r="27" spans="2:35" ht="18">
      <c r="B27" s="114"/>
      <c r="D27" s="116" t="s">
        <v>14</v>
      </c>
      <c r="E27" s="117" t="s">
        <v>10</v>
      </c>
      <c r="F27" s="112">
        <f>Conversions!U8</f>
        <v>419</v>
      </c>
      <c r="G27" s="104" t="s">
        <v>57</v>
      </c>
      <c r="H27" s="207" t="s">
        <v>164</v>
      </c>
      <c r="I27" s="146" t="e">
        <f>Conversions!U$5</f>
        <v>#DIV/0!</v>
      </c>
      <c r="J27" s="114"/>
      <c r="K27" s="114"/>
      <c r="S27" s="95"/>
      <c r="T27" s="95">
        <v>470</v>
      </c>
      <c r="U27" s="98">
        <f t="shared" si="0"/>
        <v>0</v>
      </c>
      <c r="V27" s="81"/>
      <c r="W27" s="95">
        <v>470</v>
      </c>
      <c r="X27" s="98" t="e">
        <f>Conversions!$L$6*Conversions!$N40*Conversions!$V40*Conversions!$C$9</f>
        <v>#DIV/0!</v>
      </c>
      <c r="Y27" s="98" t="e">
        <f>Conversions!$L$6*Conversions!$N40</f>
        <v>#DIV/0!</v>
      </c>
      <c r="Z27" s="99" t="e">
        <f>Conversions!$L$6*Conversions!$N40*$W27*Conversions!$C$10</f>
        <v>#DIV/0!</v>
      </c>
      <c r="AA27" s="81"/>
      <c r="AB27" s="95">
        <v>470</v>
      </c>
      <c r="AC27" s="81" t="e">
        <f>Conversions!N40*Conversions!$L$6</f>
        <v>#DIV/0!</v>
      </c>
      <c r="AD27" s="81" t="e">
        <f>Conversions!N40*Conversions!$L$6*Conversions!Y40/MAX(Conversions!$Y$22:$Y$102)</f>
        <v>#DIV/0!</v>
      </c>
      <c r="AG27" s="81">
        <f t="shared" si="1"/>
        <v>470</v>
      </c>
      <c r="AH27" s="142">
        <v>0</v>
      </c>
      <c r="AI27" s="201">
        <f t="shared" si="2"/>
      </c>
    </row>
    <row r="28" spans="2:35" ht="18">
      <c r="B28" s="114"/>
      <c r="D28" s="118" t="s">
        <v>15</v>
      </c>
      <c r="E28" s="119" t="s">
        <v>12</v>
      </c>
      <c r="F28" s="112">
        <f>Conversions!T8</f>
        <v>480</v>
      </c>
      <c r="G28" s="210" t="s">
        <v>184</v>
      </c>
      <c r="H28" s="207" t="s">
        <v>185</v>
      </c>
      <c r="I28" s="147" t="e">
        <f>Conversions!T$5</f>
        <v>#DIV/0!</v>
      </c>
      <c r="J28" s="114"/>
      <c r="K28" s="114"/>
      <c r="S28" s="95"/>
      <c r="T28" s="95">
        <v>475</v>
      </c>
      <c r="U28" s="98">
        <f t="shared" si="0"/>
        <v>0</v>
      </c>
      <c r="V28" s="81"/>
      <c r="W28" s="95">
        <v>475</v>
      </c>
      <c r="X28" s="98" t="e">
        <f>Conversions!$L$6*Conversions!$N41*Conversions!$V41*Conversions!$C$9</f>
        <v>#DIV/0!</v>
      </c>
      <c r="Y28" s="98" t="e">
        <f>Conversions!$L$6*Conversions!$N41</f>
        <v>#DIV/0!</v>
      </c>
      <c r="Z28" s="99" t="e">
        <f>Conversions!$L$6*Conversions!$N41*$W28*Conversions!$C$10</f>
        <v>#DIV/0!</v>
      </c>
      <c r="AA28" s="81"/>
      <c r="AB28" s="95">
        <v>475</v>
      </c>
      <c r="AC28" s="81" t="e">
        <f>Conversions!N41*Conversions!$L$6</f>
        <v>#DIV/0!</v>
      </c>
      <c r="AD28" s="81" t="e">
        <f>Conversions!N41*Conversions!$L$6*Conversions!Y41/MAX(Conversions!$Y$22:$Y$102)</f>
        <v>#DIV/0!</v>
      </c>
      <c r="AG28" s="81">
        <f t="shared" si="1"/>
        <v>475</v>
      </c>
      <c r="AH28" s="142">
        <v>0</v>
      </c>
      <c r="AI28" s="201">
        <f t="shared" si="2"/>
      </c>
    </row>
    <row r="29" spans="2:35" ht="18">
      <c r="B29" s="114"/>
      <c r="D29" s="107" t="s">
        <v>16</v>
      </c>
      <c r="E29" s="111" t="s">
        <v>8</v>
      </c>
      <c r="F29" s="112">
        <f>Conversions!S8</f>
        <v>496.3</v>
      </c>
      <c r="G29" s="92" t="s">
        <v>43</v>
      </c>
      <c r="H29" s="207" t="s">
        <v>165</v>
      </c>
      <c r="I29" s="147" t="e">
        <f>Conversions!S$5</f>
        <v>#DIV/0!</v>
      </c>
      <c r="K29" s="114"/>
      <c r="S29" s="95"/>
      <c r="T29" s="95">
        <v>480</v>
      </c>
      <c r="U29" s="98">
        <f t="shared" si="0"/>
        <v>0</v>
      </c>
      <c r="V29" s="81"/>
      <c r="W29" s="95">
        <v>480</v>
      </c>
      <c r="X29" s="98" t="e">
        <f>Conversions!$L$6*Conversions!$N42*Conversions!$V42*Conversions!$C$9</f>
        <v>#DIV/0!</v>
      </c>
      <c r="Y29" s="98" t="e">
        <f>Conversions!$L$6*Conversions!$N42</f>
        <v>#DIV/0!</v>
      </c>
      <c r="Z29" s="99" t="e">
        <f>Conversions!$L$6*Conversions!$N42*$W29*Conversions!$C$10</f>
        <v>#DIV/0!</v>
      </c>
      <c r="AA29" s="81"/>
      <c r="AB29" s="95">
        <v>480</v>
      </c>
      <c r="AC29" s="81" t="e">
        <f>Conversions!N42*Conversions!$L$6</f>
        <v>#DIV/0!</v>
      </c>
      <c r="AD29" s="81" t="e">
        <f>Conversions!N42*Conversions!$L$6*Conversions!Y42/MAX(Conversions!$Y$22:$Y$102)</f>
        <v>#DIV/0!</v>
      </c>
      <c r="AG29" s="81">
        <f t="shared" si="1"/>
        <v>480</v>
      </c>
      <c r="AH29" s="142">
        <v>0</v>
      </c>
      <c r="AI29" s="201">
        <f t="shared" si="2"/>
      </c>
    </row>
    <row r="30" spans="2:35" ht="18">
      <c r="B30" s="114"/>
      <c r="D30" s="120" t="s">
        <v>18</v>
      </c>
      <c r="E30" s="121" t="s">
        <v>11</v>
      </c>
      <c r="F30" s="112">
        <f>Conversions!R8</f>
        <v>530.8</v>
      </c>
      <c r="G30" s="92" t="s">
        <v>56</v>
      </c>
      <c r="H30" s="207" t="s">
        <v>166</v>
      </c>
      <c r="I30" s="147" t="e">
        <f>Conversions!R$5</f>
        <v>#DIV/0!</v>
      </c>
      <c r="J30" s="114"/>
      <c r="K30" s="114"/>
      <c r="S30" s="95"/>
      <c r="T30" s="95">
        <v>485</v>
      </c>
      <c r="U30" s="98">
        <f t="shared" si="0"/>
        <v>0</v>
      </c>
      <c r="V30" s="81"/>
      <c r="W30" s="95">
        <v>485</v>
      </c>
      <c r="X30" s="98" t="e">
        <f>Conversions!$L$6*Conversions!$N43*Conversions!$V43*Conversions!$C$9</f>
        <v>#DIV/0!</v>
      </c>
      <c r="Y30" s="98" t="e">
        <f>Conversions!$L$6*Conversions!$N43</f>
        <v>#DIV/0!</v>
      </c>
      <c r="Z30" s="99" t="e">
        <f>Conversions!$L$6*Conversions!$N43*$W30*Conversions!$C$10</f>
        <v>#DIV/0!</v>
      </c>
      <c r="AA30" s="81"/>
      <c r="AB30" s="95">
        <v>485</v>
      </c>
      <c r="AC30" s="81" t="e">
        <f>Conversions!N43*Conversions!$L$6</f>
        <v>#DIV/0!</v>
      </c>
      <c r="AD30" s="81" t="e">
        <f>Conversions!N43*Conversions!$L$6*Conversions!Y43/MAX(Conversions!$Y$22:$Y$102)</f>
        <v>#DIV/0!</v>
      </c>
      <c r="AG30" s="81">
        <f t="shared" si="1"/>
        <v>485</v>
      </c>
      <c r="AH30" s="142">
        <v>0</v>
      </c>
      <c r="AI30" s="201">
        <f t="shared" si="2"/>
      </c>
    </row>
    <row r="31" spans="2:35" ht="18.75" thickBot="1">
      <c r="B31" s="114"/>
      <c r="D31" s="87" t="s">
        <v>17</v>
      </c>
      <c r="E31" s="122" t="s">
        <v>9</v>
      </c>
      <c r="F31" s="112">
        <f>Conversions!Q8</f>
        <v>558.4</v>
      </c>
      <c r="G31" s="92" t="s">
        <v>55</v>
      </c>
      <c r="H31" s="207" t="s">
        <v>167</v>
      </c>
      <c r="I31" s="148" t="e">
        <f>Conversions!Q$5</f>
        <v>#DIV/0!</v>
      </c>
      <c r="K31" s="114"/>
      <c r="S31" s="95"/>
      <c r="T31" s="95">
        <v>490</v>
      </c>
      <c r="U31" s="98">
        <f t="shared" si="0"/>
        <v>0</v>
      </c>
      <c r="V31" s="81"/>
      <c r="W31" s="95">
        <v>490</v>
      </c>
      <c r="X31" s="98" t="e">
        <f>Conversions!$L$6*Conversions!$N44*Conversions!$V44*Conversions!$C$9</f>
        <v>#DIV/0!</v>
      </c>
      <c r="Y31" s="98" t="e">
        <f>Conversions!$L$6*Conversions!$N44</f>
        <v>#DIV/0!</v>
      </c>
      <c r="Z31" s="99" t="e">
        <f>Conversions!$L$6*Conversions!$N44*$W31*Conversions!$C$10</f>
        <v>#DIV/0!</v>
      </c>
      <c r="AA31" s="81"/>
      <c r="AB31" s="95">
        <v>490</v>
      </c>
      <c r="AC31" s="81" t="e">
        <f>Conversions!N44*Conversions!$L$6</f>
        <v>#DIV/0!</v>
      </c>
      <c r="AD31" s="81" t="e">
        <f>Conversions!N44*Conversions!$L$6*Conversions!Y44/MAX(Conversions!$Y$22:$Y$102)</f>
        <v>#DIV/0!</v>
      </c>
      <c r="AG31" s="81">
        <f t="shared" si="1"/>
        <v>490</v>
      </c>
      <c r="AH31" s="142">
        <v>0</v>
      </c>
      <c r="AI31" s="201">
        <f t="shared" si="2"/>
      </c>
    </row>
    <row r="32" spans="9:35" ht="15">
      <c r="I32" s="123"/>
      <c r="K32" s="114"/>
      <c r="S32" s="95"/>
      <c r="T32" s="95">
        <v>495</v>
      </c>
      <c r="U32" s="98">
        <f t="shared" si="0"/>
        <v>0</v>
      </c>
      <c r="V32" s="81"/>
      <c r="W32" s="95">
        <v>495</v>
      </c>
      <c r="X32" s="98" t="e">
        <f>Conversions!$L$6*Conversions!$N45*Conversions!$V45*Conversions!$C$9</f>
        <v>#DIV/0!</v>
      </c>
      <c r="Y32" s="98" t="e">
        <f>Conversions!$L$6*Conversions!$N45</f>
        <v>#DIV/0!</v>
      </c>
      <c r="Z32" s="99" t="e">
        <f>Conversions!$L$6*Conversions!$N45*$W32*Conversions!$C$10</f>
        <v>#DIV/0!</v>
      </c>
      <c r="AA32" s="81"/>
      <c r="AB32" s="95">
        <v>495</v>
      </c>
      <c r="AC32" s="81" t="e">
        <f>Conversions!N45*Conversions!$L$6</f>
        <v>#DIV/0!</v>
      </c>
      <c r="AD32" s="81" t="e">
        <f>Conversions!N45*Conversions!$L$6*Conversions!Y45/MAX(Conversions!$Y$22:$Y$102)</f>
        <v>#DIV/0!</v>
      </c>
      <c r="AG32" s="81">
        <f t="shared" si="1"/>
        <v>495</v>
      </c>
      <c r="AH32" s="142">
        <v>0</v>
      </c>
      <c r="AI32" s="201">
        <f t="shared" si="2"/>
      </c>
    </row>
    <row r="33" spans="1:35" ht="15">
      <c r="A33" s="90" t="s">
        <v>113</v>
      </c>
      <c r="B33" s="87" t="s">
        <v>117</v>
      </c>
      <c r="I33" s="106"/>
      <c r="K33" s="114"/>
      <c r="S33" s="95"/>
      <c r="T33" s="95">
        <v>500</v>
      </c>
      <c r="U33" s="98">
        <f t="shared" si="0"/>
        <v>0</v>
      </c>
      <c r="V33" s="81"/>
      <c r="W33" s="95">
        <v>500</v>
      </c>
      <c r="X33" s="98" t="e">
        <f>Conversions!$L$6*Conversions!$N46*Conversions!$V46*Conversions!$C$9</f>
        <v>#DIV/0!</v>
      </c>
      <c r="Y33" s="98" t="e">
        <f>Conversions!$L$6*Conversions!$N46</f>
        <v>#DIV/0!</v>
      </c>
      <c r="Z33" s="99" t="e">
        <f>Conversions!$L$6*Conversions!$N46*$W33*Conversions!$C$10</f>
        <v>#DIV/0!</v>
      </c>
      <c r="AA33" s="81"/>
      <c r="AB33" s="95">
        <v>500</v>
      </c>
      <c r="AC33" s="81" t="e">
        <f>Conversions!N46*Conversions!$L$6</f>
        <v>#DIV/0!</v>
      </c>
      <c r="AD33" s="81" t="e">
        <f>Conversions!N46*Conversions!$L$6*Conversions!Y46/MAX(Conversions!$Y$22:$Y$102)</f>
        <v>#DIV/0!</v>
      </c>
      <c r="AG33" s="81">
        <f t="shared" si="1"/>
        <v>500</v>
      </c>
      <c r="AH33" s="142">
        <v>0</v>
      </c>
      <c r="AI33" s="201">
        <f t="shared" si="2"/>
      </c>
    </row>
    <row r="34" spans="4:35" ht="15.75" thickBot="1">
      <c r="D34" s="91" t="s">
        <v>46</v>
      </c>
      <c r="E34" s="91"/>
      <c r="F34" s="91" t="s">
        <v>45</v>
      </c>
      <c r="G34" s="114"/>
      <c r="H34" s="110"/>
      <c r="I34" s="110" t="s">
        <v>118</v>
      </c>
      <c r="K34" s="114"/>
      <c r="S34" s="95"/>
      <c r="T34" s="95">
        <v>505</v>
      </c>
      <c r="U34" s="98">
        <f t="shared" si="0"/>
        <v>0</v>
      </c>
      <c r="V34" s="81"/>
      <c r="W34" s="95">
        <v>505</v>
      </c>
      <c r="X34" s="98" t="e">
        <f>Conversions!$L$6*Conversions!$N47*Conversions!$V47*Conversions!$C$9</f>
        <v>#DIV/0!</v>
      </c>
      <c r="Y34" s="98" t="e">
        <f>Conversions!$L$6*Conversions!$N47</f>
        <v>#DIV/0!</v>
      </c>
      <c r="Z34" s="99" t="e">
        <f>Conversions!$L$6*Conversions!$N47*$W34*Conversions!$C$10</f>
        <v>#DIV/0!</v>
      </c>
      <c r="AA34" s="81"/>
      <c r="AB34" s="95">
        <v>505</v>
      </c>
      <c r="AC34" s="81" t="e">
        <f>Conversions!N47*Conversions!$L$6</f>
        <v>#DIV/0!</v>
      </c>
      <c r="AD34" s="81" t="e">
        <f>Conversions!N47*Conversions!$L$6*Conversions!Y47/MAX(Conversions!$Y$22:$Y$102)</f>
        <v>#DIV/0!</v>
      </c>
      <c r="AG34" s="81">
        <f t="shared" si="1"/>
        <v>505</v>
      </c>
      <c r="AH34" s="142">
        <v>0</v>
      </c>
      <c r="AI34" s="201">
        <f t="shared" si="2"/>
      </c>
    </row>
    <row r="35" spans="1:35" ht="15">
      <c r="A35" s="90"/>
      <c r="D35" s="96" t="s">
        <v>172</v>
      </c>
      <c r="F35" s="96" t="s">
        <v>160</v>
      </c>
      <c r="H35" s="110"/>
      <c r="I35" s="149">
        <f>Conversions!L6</f>
        <v>0</v>
      </c>
      <c r="K35" s="114"/>
      <c r="S35" s="95"/>
      <c r="T35" s="95">
        <v>510</v>
      </c>
      <c r="U35" s="98">
        <f t="shared" si="0"/>
        <v>0</v>
      </c>
      <c r="V35" s="81"/>
      <c r="W35" s="95">
        <v>510</v>
      </c>
      <c r="X35" s="98" t="e">
        <f>Conversions!$L$6*Conversions!$N48*Conversions!$V48*Conversions!$C$9</f>
        <v>#DIV/0!</v>
      </c>
      <c r="Y35" s="98" t="e">
        <f>Conversions!$L$6*Conversions!$N48</f>
        <v>#DIV/0!</v>
      </c>
      <c r="Z35" s="99" t="e">
        <f>Conversions!$L$6*Conversions!$N48*$W35*Conversions!$C$10</f>
        <v>#DIV/0!</v>
      </c>
      <c r="AA35" s="81"/>
      <c r="AB35" s="95">
        <v>510</v>
      </c>
      <c r="AC35" s="81" t="e">
        <f>Conversions!N48*Conversions!$L$6</f>
        <v>#DIV/0!</v>
      </c>
      <c r="AD35" s="81" t="e">
        <f>Conversions!N48*Conversions!$L$6*Conversions!Y48/MAX(Conversions!$Y$22:$Y$102)</f>
        <v>#DIV/0!</v>
      </c>
      <c r="AG35" s="81">
        <f t="shared" si="1"/>
        <v>510</v>
      </c>
      <c r="AH35" s="142">
        <v>0</v>
      </c>
      <c r="AI35" s="201">
        <f t="shared" si="2"/>
      </c>
    </row>
    <row r="36" spans="4:35" ht="15">
      <c r="D36" s="124" t="s">
        <v>115</v>
      </c>
      <c r="F36" s="204" t="s">
        <v>159</v>
      </c>
      <c r="H36" s="110"/>
      <c r="I36" s="125" t="e">
        <f>Conversions!L7</f>
        <v>#DIV/0!</v>
      </c>
      <c r="K36" s="114"/>
      <c r="S36" s="95"/>
      <c r="T36" s="95">
        <v>515</v>
      </c>
      <c r="U36" s="98">
        <f t="shared" si="0"/>
        <v>0</v>
      </c>
      <c r="V36" s="81"/>
      <c r="W36" s="95">
        <v>515</v>
      </c>
      <c r="X36" s="98" t="e">
        <f>Conversions!$L$6*Conversions!$N49*Conversions!$V49*Conversions!$C$9</f>
        <v>#DIV/0!</v>
      </c>
      <c r="Y36" s="98" t="e">
        <f>Conversions!$L$6*Conversions!$N49</f>
        <v>#DIV/0!</v>
      </c>
      <c r="Z36" s="99" t="e">
        <f>Conversions!$L$6*Conversions!$N49*$W36*Conversions!$C$10</f>
        <v>#DIV/0!</v>
      </c>
      <c r="AA36" s="81"/>
      <c r="AB36" s="95">
        <v>515</v>
      </c>
      <c r="AC36" s="81" t="e">
        <f>Conversions!N49*Conversions!$L$6</f>
        <v>#DIV/0!</v>
      </c>
      <c r="AD36" s="81" t="e">
        <f>Conversions!N49*Conversions!$L$6*Conversions!Y49/MAX(Conversions!$Y$22:$Y$102)</f>
        <v>#DIV/0!</v>
      </c>
      <c r="AG36" s="81">
        <f t="shared" si="1"/>
        <v>515</v>
      </c>
      <c r="AH36" s="142">
        <v>0</v>
      </c>
      <c r="AI36" s="201">
        <f t="shared" si="2"/>
      </c>
    </row>
    <row r="37" spans="4:35" ht="15.75" thickBot="1">
      <c r="D37" s="204" t="s">
        <v>116</v>
      </c>
      <c r="F37" s="204" t="s">
        <v>161</v>
      </c>
      <c r="H37" s="110"/>
      <c r="I37" s="150" t="e">
        <f>LOG(Conversions!L7,10)</f>
        <v>#DIV/0!</v>
      </c>
      <c r="S37" s="95"/>
      <c r="T37" s="95">
        <v>520</v>
      </c>
      <c r="U37" s="98">
        <f t="shared" si="0"/>
        <v>0</v>
      </c>
      <c r="V37" s="81"/>
      <c r="W37" s="95">
        <v>520</v>
      </c>
      <c r="X37" s="98" t="e">
        <f>Conversions!$L$6*Conversions!$N50*Conversions!$V50*Conversions!$C$9</f>
        <v>#DIV/0!</v>
      </c>
      <c r="Y37" s="98" t="e">
        <f>Conversions!$L$6*Conversions!$N50</f>
        <v>#DIV/0!</v>
      </c>
      <c r="Z37" s="99" t="e">
        <f>Conversions!$L$6*Conversions!$N50*$W37*Conversions!$C$10</f>
        <v>#DIV/0!</v>
      </c>
      <c r="AA37" s="81"/>
      <c r="AB37" s="95">
        <v>520</v>
      </c>
      <c r="AC37" s="81" t="e">
        <f>Conversions!N50*Conversions!$L$6</f>
        <v>#DIV/0!</v>
      </c>
      <c r="AD37" s="81" t="e">
        <f>Conversions!N50*Conversions!$L$6*Conversions!Y50/MAX(Conversions!$Y$22:$Y$102)</f>
        <v>#DIV/0!</v>
      </c>
      <c r="AG37" s="81">
        <f t="shared" si="1"/>
        <v>520</v>
      </c>
      <c r="AH37" s="142">
        <v>0</v>
      </c>
      <c r="AI37" s="201">
        <f t="shared" si="2"/>
      </c>
    </row>
    <row r="38" spans="19:35" ht="13.5">
      <c r="S38" s="95"/>
      <c r="T38" s="95">
        <v>525</v>
      </c>
      <c r="U38" s="98">
        <f t="shared" si="0"/>
        <v>0</v>
      </c>
      <c r="V38" s="81"/>
      <c r="W38" s="95">
        <v>525</v>
      </c>
      <c r="X38" s="98" t="e">
        <f>Conversions!$L$6*Conversions!$N51*Conversions!$V51*Conversions!$C$9</f>
        <v>#DIV/0!</v>
      </c>
      <c r="Y38" s="98" t="e">
        <f>Conversions!$L$6*Conversions!$N51</f>
        <v>#DIV/0!</v>
      </c>
      <c r="Z38" s="99" t="e">
        <f>Conversions!$L$6*Conversions!$N51*$W38*Conversions!$C$10</f>
        <v>#DIV/0!</v>
      </c>
      <c r="AA38" s="81"/>
      <c r="AB38" s="95">
        <v>525</v>
      </c>
      <c r="AC38" s="81" t="e">
        <f>Conversions!N51*Conversions!$L$6</f>
        <v>#DIV/0!</v>
      </c>
      <c r="AD38" s="81" t="e">
        <f>Conversions!N51*Conversions!$L$6*Conversions!Y51/MAX(Conversions!$Y$22:$Y$102)</f>
        <v>#DIV/0!</v>
      </c>
      <c r="AG38" s="81">
        <f t="shared" si="1"/>
        <v>525</v>
      </c>
      <c r="AH38" s="142">
        <v>0</v>
      </c>
      <c r="AI38" s="201">
        <f t="shared" si="2"/>
      </c>
    </row>
    <row r="39" spans="19:35" ht="13.5">
      <c r="S39" s="95"/>
      <c r="T39" s="95">
        <v>530</v>
      </c>
      <c r="U39" s="98">
        <f t="shared" si="0"/>
        <v>0</v>
      </c>
      <c r="V39" s="81"/>
      <c r="W39" s="95">
        <v>530</v>
      </c>
      <c r="X39" s="98" t="e">
        <f>Conversions!$L$6*Conversions!$N52*Conversions!$V52*Conversions!$C$9</f>
        <v>#DIV/0!</v>
      </c>
      <c r="Y39" s="98" t="e">
        <f>Conversions!$L$6*Conversions!$N52</f>
        <v>#DIV/0!</v>
      </c>
      <c r="Z39" s="99" t="e">
        <f>Conversions!$L$6*Conversions!$N52*$W39*Conversions!$C$10</f>
        <v>#DIV/0!</v>
      </c>
      <c r="AA39" s="81"/>
      <c r="AB39" s="95">
        <v>530</v>
      </c>
      <c r="AC39" s="81" t="e">
        <f>Conversions!N52*Conversions!$L$6</f>
        <v>#DIV/0!</v>
      </c>
      <c r="AD39" s="81" t="e">
        <f>Conversions!N52*Conversions!$L$6*Conversions!Y52/MAX(Conversions!$Y$22:$Y$102)</f>
        <v>#DIV/0!</v>
      </c>
      <c r="AG39" s="81">
        <f t="shared" si="1"/>
        <v>530</v>
      </c>
      <c r="AH39" s="142">
        <v>0</v>
      </c>
      <c r="AI39" s="201">
        <f t="shared" si="2"/>
      </c>
    </row>
    <row r="40" spans="19:35" ht="13.5">
      <c r="S40" s="95"/>
      <c r="T40" s="95">
        <v>535</v>
      </c>
      <c r="U40" s="98">
        <f t="shared" si="0"/>
        <v>0</v>
      </c>
      <c r="V40" s="81"/>
      <c r="W40" s="95">
        <v>535</v>
      </c>
      <c r="X40" s="98" t="e">
        <f>Conversions!$L$6*Conversions!$N53*Conversions!$V53*Conversions!$C$9</f>
        <v>#DIV/0!</v>
      </c>
      <c r="Y40" s="98" t="e">
        <f>Conversions!$L$6*Conversions!$N53</f>
        <v>#DIV/0!</v>
      </c>
      <c r="Z40" s="99" t="e">
        <f>Conversions!$L$6*Conversions!$N53*$W40*Conversions!$C$10</f>
        <v>#DIV/0!</v>
      </c>
      <c r="AA40" s="81"/>
      <c r="AB40" s="95">
        <v>535</v>
      </c>
      <c r="AC40" s="81" t="e">
        <f>Conversions!N53*Conversions!$L$6</f>
        <v>#DIV/0!</v>
      </c>
      <c r="AD40" s="81" t="e">
        <f>Conversions!N53*Conversions!$L$6*Conversions!Y53/MAX(Conversions!$Y$22:$Y$102)</f>
        <v>#DIV/0!</v>
      </c>
      <c r="AG40" s="81">
        <f t="shared" si="1"/>
        <v>535</v>
      </c>
      <c r="AH40" s="142">
        <v>0</v>
      </c>
      <c r="AI40" s="201">
        <f t="shared" si="2"/>
      </c>
    </row>
    <row r="41" spans="19:35" ht="13.5">
      <c r="S41" s="95"/>
      <c r="T41" s="95">
        <v>540</v>
      </c>
      <c r="U41" s="98">
        <f aca="true" t="shared" si="3" ref="U41:U72">VLOOKUP($T41,$AG$9:$AI$413,IF($D$6="1nm spectral data",3,2),0)</f>
        <v>0</v>
      </c>
      <c r="V41" s="81"/>
      <c r="W41" s="95">
        <v>540</v>
      </c>
      <c r="X41" s="98" t="e">
        <f>Conversions!$L$6*Conversions!$N54*Conversions!$V54*Conversions!$C$9</f>
        <v>#DIV/0!</v>
      </c>
      <c r="Y41" s="98" t="e">
        <f>Conversions!$L$6*Conversions!$N54</f>
        <v>#DIV/0!</v>
      </c>
      <c r="Z41" s="99" t="e">
        <f>Conversions!$L$6*Conversions!$N54*$W41*Conversions!$C$10</f>
        <v>#DIV/0!</v>
      </c>
      <c r="AA41" s="81"/>
      <c r="AB41" s="95">
        <v>540</v>
      </c>
      <c r="AC41" s="81" t="e">
        <f>Conversions!N54*Conversions!$L$6</f>
        <v>#DIV/0!</v>
      </c>
      <c r="AD41" s="81" t="e">
        <f>Conversions!N54*Conversions!$L$6*Conversions!Y54/MAX(Conversions!$Y$22:$Y$102)</f>
        <v>#DIV/0!</v>
      </c>
      <c r="AG41" s="81">
        <f t="shared" si="1"/>
        <v>540</v>
      </c>
      <c r="AH41" s="142">
        <v>0</v>
      </c>
      <c r="AI41" s="201">
        <f t="shared" si="2"/>
      </c>
    </row>
    <row r="42" spans="19:35" ht="13.5">
      <c r="S42" s="95"/>
      <c r="T42" s="95">
        <v>545</v>
      </c>
      <c r="U42" s="98">
        <f t="shared" si="3"/>
        <v>0</v>
      </c>
      <c r="V42" s="81"/>
      <c r="W42" s="95">
        <v>545</v>
      </c>
      <c r="X42" s="98" t="e">
        <f>Conversions!$L$6*Conversions!$N55*Conversions!$V55*Conversions!$C$9</f>
        <v>#DIV/0!</v>
      </c>
      <c r="Y42" s="98" t="e">
        <f>Conversions!$L$6*Conversions!$N55</f>
        <v>#DIV/0!</v>
      </c>
      <c r="Z42" s="99" t="e">
        <f>Conversions!$L$6*Conversions!$N55*$W42*Conversions!$C$10</f>
        <v>#DIV/0!</v>
      </c>
      <c r="AA42" s="81"/>
      <c r="AB42" s="95">
        <v>545</v>
      </c>
      <c r="AC42" s="81" t="e">
        <f>Conversions!N55*Conversions!$L$6</f>
        <v>#DIV/0!</v>
      </c>
      <c r="AD42" s="81" t="e">
        <f>Conversions!N55*Conversions!$L$6*Conversions!Y55/MAX(Conversions!$Y$22:$Y$102)</f>
        <v>#DIV/0!</v>
      </c>
      <c r="AG42" s="81">
        <f t="shared" si="1"/>
        <v>545</v>
      </c>
      <c r="AH42" s="142">
        <v>0</v>
      </c>
      <c r="AI42" s="201">
        <f t="shared" si="2"/>
      </c>
    </row>
    <row r="43" spans="19:35" ht="13.5">
      <c r="S43" s="95"/>
      <c r="T43" s="95">
        <v>550</v>
      </c>
      <c r="U43" s="98">
        <f t="shared" si="3"/>
        <v>0</v>
      </c>
      <c r="V43" s="81"/>
      <c r="W43" s="95">
        <v>550</v>
      </c>
      <c r="X43" s="98" t="e">
        <f>Conversions!$L$6*Conversions!$N56*Conversions!$V56*Conversions!$C$9</f>
        <v>#DIV/0!</v>
      </c>
      <c r="Y43" s="98" t="e">
        <f>Conversions!$L$6*Conversions!$N56</f>
        <v>#DIV/0!</v>
      </c>
      <c r="Z43" s="99" t="e">
        <f>Conversions!$L$6*Conversions!$N56*$W43*Conversions!$C$10</f>
        <v>#DIV/0!</v>
      </c>
      <c r="AA43" s="81"/>
      <c r="AB43" s="95">
        <v>550</v>
      </c>
      <c r="AC43" s="81" t="e">
        <f>Conversions!N56*Conversions!$L$6</f>
        <v>#DIV/0!</v>
      </c>
      <c r="AD43" s="81" t="e">
        <f>Conversions!N56*Conversions!$L$6*Conversions!Y56/MAX(Conversions!$Y$22:$Y$102)</f>
        <v>#DIV/0!</v>
      </c>
      <c r="AG43" s="81">
        <f t="shared" si="1"/>
        <v>550</v>
      </c>
      <c r="AH43" s="142">
        <v>0</v>
      </c>
      <c r="AI43" s="201">
        <f t="shared" si="2"/>
      </c>
    </row>
    <row r="44" spans="19:35" ht="13.5">
      <c r="S44" s="95"/>
      <c r="T44" s="95">
        <v>555</v>
      </c>
      <c r="U44" s="98">
        <f t="shared" si="3"/>
        <v>0</v>
      </c>
      <c r="V44" s="81"/>
      <c r="W44" s="95">
        <v>555</v>
      </c>
      <c r="X44" s="98" t="e">
        <f>Conversions!$L$6*Conversions!$N57*Conversions!$V57*Conversions!$C$9</f>
        <v>#DIV/0!</v>
      </c>
      <c r="Y44" s="98" t="e">
        <f>Conversions!$L$6*Conversions!$N57</f>
        <v>#DIV/0!</v>
      </c>
      <c r="Z44" s="99" t="e">
        <f>Conversions!$L$6*Conversions!$N57*$W44*Conversions!$C$10</f>
        <v>#DIV/0!</v>
      </c>
      <c r="AA44" s="81"/>
      <c r="AB44" s="95">
        <v>555</v>
      </c>
      <c r="AC44" s="81" t="e">
        <f>Conversions!N57*Conversions!$L$6</f>
        <v>#DIV/0!</v>
      </c>
      <c r="AD44" s="81" t="e">
        <f>Conversions!N57*Conversions!$L$6*Conversions!Y57/MAX(Conversions!$Y$22:$Y$102)</f>
        <v>#DIV/0!</v>
      </c>
      <c r="AG44" s="81">
        <f t="shared" si="1"/>
        <v>555</v>
      </c>
      <c r="AH44" s="142">
        <v>0</v>
      </c>
      <c r="AI44" s="201">
        <f t="shared" si="2"/>
      </c>
    </row>
    <row r="45" spans="1:35" ht="15">
      <c r="A45" s="90"/>
      <c r="B45" s="87"/>
      <c r="C45" s="114"/>
      <c r="D45" s="114"/>
      <c r="E45" s="114"/>
      <c r="F45" s="114"/>
      <c r="G45" s="114"/>
      <c r="H45" s="114"/>
      <c r="S45" s="95"/>
      <c r="T45" s="95">
        <v>560</v>
      </c>
      <c r="U45" s="98">
        <f t="shared" si="3"/>
        <v>0</v>
      </c>
      <c r="V45" s="81"/>
      <c r="W45" s="95">
        <v>560</v>
      </c>
      <c r="X45" s="98" t="e">
        <f>Conversions!$L$6*Conversions!$N58*Conversions!$V58*Conversions!$C$9</f>
        <v>#DIV/0!</v>
      </c>
      <c r="Y45" s="98" t="e">
        <f>Conversions!$L$6*Conversions!$N58</f>
        <v>#DIV/0!</v>
      </c>
      <c r="Z45" s="99" t="e">
        <f>Conversions!$L$6*Conversions!$N58*$W45*Conversions!$C$10</f>
        <v>#DIV/0!</v>
      </c>
      <c r="AA45" s="81"/>
      <c r="AB45" s="95">
        <v>560</v>
      </c>
      <c r="AC45" s="81" t="e">
        <f>Conversions!N58*Conversions!$L$6</f>
        <v>#DIV/0!</v>
      </c>
      <c r="AD45" s="81" t="e">
        <f>Conversions!N58*Conversions!$L$6*Conversions!Y58/MAX(Conversions!$Y$22:$Y$102)</f>
        <v>#DIV/0!</v>
      </c>
      <c r="AG45" s="81">
        <f t="shared" si="1"/>
        <v>560</v>
      </c>
      <c r="AH45" s="142">
        <v>0</v>
      </c>
      <c r="AI45" s="201">
        <f t="shared" si="2"/>
      </c>
    </row>
    <row r="46" spans="1:35" ht="15">
      <c r="A46" s="90"/>
      <c r="B46" s="114"/>
      <c r="C46" s="92"/>
      <c r="E46" s="88"/>
      <c r="F46" s="103"/>
      <c r="G46" s="126"/>
      <c r="H46" s="127"/>
      <c r="S46" s="95"/>
      <c r="T46" s="95">
        <v>565</v>
      </c>
      <c r="U46" s="98">
        <f t="shared" si="3"/>
        <v>0</v>
      </c>
      <c r="V46" s="81"/>
      <c r="W46" s="95">
        <v>565</v>
      </c>
      <c r="X46" s="98" t="e">
        <f>Conversions!$L$6*Conversions!$N59*Conversions!$V59*Conversions!$C$9</f>
        <v>#DIV/0!</v>
      </c>
      <c r="Y46" s="98" t="e">
        <f>Conversions!$L$6*Conversions!$N59</f>
        <v>#DIV/0!</v>
      </c>
      <c r="Z46" s="99" t="e">
        <f>Conversions!$L$6*Conversions!$N59*$W46*Conversions!$C$10</f>
        <v>#DIV/0!</v>
      </c>
      <c r="AA46" s="81"/>
      <c r="AB46" s="95">
        <v>565</v>
      </c>
      <c r="AC46" s="81" t="e">
        <f>Conversions!N59*Conversions!$L$6</f>
        <v>#DIV/0!</v>
      </c>
      <c r="AD46" s="81" t="e">
        <f>Conversions!N59*Conversions!$L$6*Conversions!Y59/MAX(Conversions!$Y$22:$Y$102)</f>
        <v>#DIV/0!</v>
      </c>
      <c r="AG46" s="81">
        <f t="shared" si="1"/>
        <v>565</v>
      </c>
      <c r="AH46" s="142">
        <v>0</v>
      </c>
      <c r="AI46" s="201">
        <f t="shared" si="2"/>
      </c>
    </row>
    <row r="47" spans="1:35" ht="15">
      <c r="A47" s="90"/>
      <c r="B47" s="128"/>
      <c r="E47" s="129"/>
      <c r="F47" s="130"/>
      <c r="G47" s="131"/>
      <c r="H47" s="132"/>
      <c r="S47" s="95"/>
      <c r="T47" s="95">
        <v>570</v>
      </c>
      <c r="U47" s="98">
        <f t="shared" si="3"/>
        <v>0</v>
      </c>
      <c r="V47" s="81"/>
      <c r="W47" s="95">
        <v>570</v>
      </c>
      <c r="X47" s="98" t="e">
        <f>Conversions!$L$6*Conversions!$N60*Conversions!$V60*Conversions!$C$9</f>
        <v>#DIV/0!</v>
      </c>
      <c r="Y47" s="98" t="e">
        <f>Conversions!$L$6*Conversions!$N60</f>
        <v>#DIV/0!</v>
      </c>
      <c r="Z47" s="99" t="e">
        <f>Conversions!$L$6*Conversions!$N60*$W47*Conversions!$C$10</f>
        <v>#DIV/0!</v>
      </c>
      <c r="AA47" s="81"/>
      <c r="AB47" s="95">
        <v>570</v>
      </c>
      <c r="AC47" s="81" t="e">
        <f>Conversions!N60*Conversions!$L$6</f>
        <v>#DIV/0!</v>
      </c>
      <c r="AD47" s="81" t="e">
        <f>Conversions!N60*Conversions!$L$6*Conversions!Y60/MAX(Conversions!$Y$22:$Y$102)</f>
        <v>#DIV/0!</v>
      </c>
      <c r="AG47" s="81">
        <f t="shared" si="1"/>
        <v>570</v>
      </c>
      <c r="AH47" s="142">
        <v>0</v>
      </c>
      <c r="AI47" s="201">
        <f t="shared" si="2"/>
      </c>
    </row>
    <row r="48" spans="1:35" ht="15">
      <c r="A48" s="90"/>
      <c r="B48" s="102"/>
      <c r="E48" s="133"/>
      <c r="F48" s="134"/>
      <c r="G48" s="131"/>
      <c r="H48" s="132"/>
      <c r="S48" s="95"/>
      <c r="T48" s="95">
        <v>575</v>
      </c>
      <c r="U48" s="98">
        <f t="shared" si="3"/>
        <v>0</v>
      </c>
      <c r="V48" s="81"/>
      <c r="W48" s="95">
        <v>575</v>
      </c>
      <c r="X48" s="98" t="e">
        <f>Conversions!$L$6*Conversions!$N61*Conversions!$V61*Conversions!$C$9</f>
        <v>#DIV/0!</v>
      </c>
      <c r="Y48" s="98" t="e">
        <f>Conversions!$L$6*Conversions!$N61</f>
        <v>#DIV/0!</v>
      </c>
      <c r="Z48" s="99" t="e">
        <f>Conversions!$L$6*Conversions!$N61*$W48*Conversions!$C$10</f>
        <v>#DIV/0!</v>
      </c>
      <c r="AA48" s="81"/>
      <c r="AB48" s="95">
        <v>575</v>
      </c>
      <c r="AC48" s="81" t="e">
        <f>Conversions!N61*Conversions!$L$6</f>
        <v>#DIV/0!</v>
      </c>
      <c r="AD48" s="81" t="e">
        <f>Conversions!N61*Conversions!$L$6*Conversions!Y61/MAX(Conversions!$Y$22:$Y$102)</f>
        <v>#DIV/0!</v>
      </c>
      <c r="AG48" s="81">
        <f t="shared" si="1"/>
        <v>575</v>
      </c>
      <c r="AH48" s="142">
        <v>0</v>
      </c>
      <c r="AI48" s="201">
        <f t="shared" si="2"/>
      </c>
    </row>
    <row r="49" spans="19:35" ht="13.5">
      <c r="S49" s="95"/>
      <c r="T49" s="95">
        <v>580</v>
      </c>
      <c r="U49" s="98">
        <f t="shared" si="3"/>
        <v>0</v>
      </c>
      <c r="V49" s="81"/>
      <c r="W49" s="95">
        <v>580</v>
      </c>
      <c r="X49" s="98" t="e">
        <f>Conversions!$L$6*Conversions!$N62*Conversions!$V62*Conversions!$C$9</f>
        <v>#DIV/0!</v>
      </c>
      <c r="Y49" s="98" t="e">
        <f>Conversions!$L$6*Conversions!$N62</f>
        <v>#DIV/0!</v>
      </c>
      <c r="Z49" s="99" t="e">
        <f>Conversions!$L$6*Conversions!$N62*$W49*Conversions!$C$10</f>
        <v>#DIV/0!</v>
      </c>
      <c r="AA49" s="81"/>
      <c r="AB49" s="95">
        <v>580</v>
      </c>
      <c r="AC49" s="81" t="e">
        <f>Conversions!N62*Conversions!$L$6</f>
        <v>#DIV/0!</v>
      </c>
      <c r="AD49" s="81" t="e">
        <f>Conversions!N62*Conversions!$L$6*Conversions!Y62/MAX(Conversions!$Y$22:$Y$102)</f>
        <v>#DIV/0!</v>
      </c>
      <c r="AG49" s="81">
        <f t="shared" si="1"/>
        <v>580</v>
      </c>
      <c r="AH49" s="142">
        <v>0</v>
      </c>
      <c r="AI49" s="201">
        <f t="shared" si="2"/>
      </c>
    </row>
    <row r="50" spans="19:35" ht="13.5">
      <c r="S50" s="95"/>
      <c r="T50" s="95">
        <v>585</v>
      </c>
      <c r="U50" s="98">
        <f t="shared" si="3"/>
        <v>0</v>
      </c>
      <c r="V50" s="81"/>
      <c r="W50" s="95">
        <v>585</v>
      </c>
      <c r="X50" s="98" t="e">
        <f>Conversions!$L$6*Conversions!$N63*Conversions!$V63*Conversions!$C$9</f>
        <v>#DIV/0!</v>
      </c>
      <c r="Y50" s="98" t="e">
        <f>Conversions!$L$6*Conversions!$N63</f>
        <v>#DIV/0!</v>
      </c>
      <c r="Z50" s="99" t="e">
        <f>Conversions!$L$6*Conversions!$N63*$W50*Conversions!$C$10</f>
        <v>#DIV/0!</v>
      </c>
      <c r="AA50" s="81"/>
      <c r="AB50" s="95">
        <v>585</v>
      </c>
      <c r="AC50" s="81" t="e">
        <f>Conversions!N63*Conversions!$L$6</f>
        <v>#DIV/0!</v>
      </c>
      <c r="AD50" s="81" t="e">
        <f>Conversions!N63*Conversions!$L$6*Conversions!Y63/MAX(Conversions!$Y$22:$Y$102)</f>
        <v>#DIV/0!</v>
      </c>
      <c r="AG50" s="81">
        <f t="shared" si="1"/>
        <v>585</v>
      </c>
      <c r="AH50" s="142">
        <v>0</v>
      </c>
      <c r="AI50" s="201">
        <f t="shared" si="2"/>
      </c>
    </row>
    <row r="51" spans="19:35" ht="13.5">
      <c r="S51" s="95"/>
      <c r="T51" s="95">
        <v>590</v>
      </c>
      <c r="U51" s="98">
        <f t="shared" si="3"/>
        <v>0</v>
      </c>
      <c r="V51" s="81"/>
      <c r="W51" s="95">
        <v>590</v>
      </c>
      <c r="X51" s="98" t="e">
        <f>Conversions!$L$6*Conversions!$N64*Conversions!$V64*Conversions!$C$9</f>
        <v>#DIV/0!</v>
      </c>
      <c r="Y51" s="98" t="e">
        <f>Conversions!$L$6*Conversions!$N64</f>
        <v>#DIV/0!</v>
      </c>
      <c r="Z51" s="99" t="e">
        <f>Conversions!$L$6*Conversions!$N64*$W51*Conversions!$C$10</f>
        <v>#DIV/0!</v>
      </c>
      <c r="AA51" s="81"/>
      <c r="AB51" s="95">
        <v>590</v>
      </c>
      <c r="AC51" s="81" t="e">
        <f>Conversions!N64*Conversions!$L$6</f>
        <v>#DIV/0!</v>
      </c>
      <c r="AD51" s="81" t="e">
        <f>Conversions!N64*Conversions!$L$6*Conversions!Y64/MAX(Conversions!$Y$22:$Y$102)</f>
        <v>#DIV/0!</v>
      </c>
      <c r="AG51" s="81">
        <f t="shared" si="1"/>
        <v>590</v>
      </c>
      <c r="AH51" s="142">
        <v>0</v>
      </c>
      <c r="AI51" s="201">
        <f t="shared" si="2"/>
      </c>
    </row>
    <row r="52" spans="19:35" ht="13.5">
      <c r="S52" s="95"/>
      <c r="T52" s="95">
        <v>595</v>
      </c>
      <c r="U52" s="98">
        <f t="shared" si="3"/>
        <v>0</v>
      </c>
      <c r="V52" s="81"/>
      <c r="W52" s="95">
        <v>595</v>
      </c>
      <c r="X52" s="98" t="e">
        <f>Conversions!$L$6*Conversions!$N65*Conversions!$V65*Conversions!$C$9</f>
        <v>#DIV/0!</v>
      </c>
      <c r="Y52" s="98" t="e">
        <f>Conversions!$L$6*Conversions!$N65</f>
        <v>#DIV/0!</v>
      </c>
      <c r="Z52" s="99" t="e">
        <f>Conversions!$L$6*Conversions!$N65*$W52*Conversions!$C$10</f>
        <v>#DIV/0!</v>
      </c>
      <c r="AA52" s="81"/>
      <c r="AB52" s="95">
        <v>595</v>
      </c>
      <c r="AC52" s="81" t="e">
        <f>Conversions!N65*Conversions!$L$6</f>
        <v>#DIV/0!</v>
      </c>
      <c r="AD52" s="81" t="e">
        <f>Conversions!N65*Conversions!$L$6*Conversions!Y65/MAX(Conversions!$Y$22:$Y$102)</f>
        <v>#DIV/0!</v>
      </c>
      <c r="AG52" s="81">
        <f t="shared" si="1"/>
        <v>595</v>
      </c>
      <c r="AH52" s="142">
        <v>0</v>
      </c>
      <c r="AI52" s="201">
        <f t="shared" si="2"/>
      </c>
    </row>
    <row r="53" spans="19:35" ht="13.5">
      <c r="S53" s="95"/>
      <c r="T53" s="95">
        <v>600</v>
      </c>
      <c r="U53" s="98">
        <f t="shared" si="3"/>
        <v>0</v>
      </c>
      <c r="V53" s="81"/>
      <c r="W53" s="95">
        <v>600</v>
      </c>
      <c r="X53" s="98" t="e">
        <f>Conversions!$L$6*Conversions!$N66*Conversions!$V66*Conversions!$C$9</f>
        <v>#DIV/0!</v>
      </c>
      <c r="Y53" s="98" t="e">
        <f>Conversions!$L$6*Conversions!$N66</f>
        <v>#DIV/0!</v>
      </c>
      <c r="Z53" s="99" t="e">
        <f>Conversions!$L$6*Conversions!$N66*$W53*Conversions!$C$10</f>
        <v>#DIV/0!</v>
      </c>
      <c r="AA53" s="81"/>
      <c r="AB53" s="95">
        <v>600</v>
      </c>
      <c r="AC53" s="81" t="e">
        <f>Conversions!N66*Conversions!$L$6</f>
        <v>#DIV/0!</v>
      </c>
      <c r="AD53" s="81" t="e">
        <f>Conversions!N66*Conversions!$L$6*Conversions!Y66/MAX(Conversions!$Y$22:$Y$102)</f>
        <v>#DIV/0!</v>
      </c>
      <c r="AG53" s="81">
        <f t="shared" si="1"/>
        <v>600</v>
      </c>
      <c r="AH53" s="142">
        <v>0</v>
      </c>
      <c r="AI53" s="201">
        <f t="shared" si="2"/>
      </c>
    </row>
    <row r="54" spans="19:35" ht="13.5">
      <c r="S54" s="95"/>
      <c r="T54" s="95">
        <v>605</v>
      </c>
      <c r="U54" s="98">
        <f t="shared" si="3"/>
        <v>0</v>
      </c>
      <c r="V54" s="81"/>
      <c r="W54" s="95">
        <v>605</v>
      </c>
      <c r="X54" s="98" t="e">
        <f>Conversions!$L$6*Conversions!$N67*Conversions!$V67*Conversions!$C$9</f>
        <v>#DIV/0!</v>
      </c>
      <c r="Y54" s="98" t="e">
        <f>Conversions!$L$6*Conversions!$N67</f>
        <v>#DIV/0!</v>
      </c>
      <c r="Z54" s="99" t="e">
        <f>Conversions!$L$6*Conversions!$N67*$W54*Conversions!$C$10</f>
        <v>#DIV/0!</v>
      </c>
      <c r="AA54" s="81"/>
      <c r="AB54" s="95">
        <v>605</v>
      </c>
      <c r="AC54" s="81" t="e">
        <f>Conversions!N67*Conversions!$L$6</f>
        <v>#DIV/0!</v>
      </c>
      <c r="AD54" s="81" t="e">
        <f>Conversions!N67*Conversions!$L$6*Conversions!Y67/MAX(Conversions!$Y$22:$Y$102)</f>
        <v>#DIV/0!</v>
      </c>
      <c r="AG54" s="81">
        <f t="shared" si="1"/>
        <v>605</v>
      </c>
      <c r="AH54" s="142">
        <v>0</v>
      </c>
      <c r="AI54" s="201">
        <f t="shared" si="2"/>
      </c>
    </row>
    <row r="55" spans="1:35" ht="15">
      <c r="A55" s="90"/>
      <c r="B55" s="87"/>
      <c r="S55" s="95"/>
      <c r="T55" s="95">
        <v>610</v>
      </c>
      <c r="U55" s="98">
        <f t="shared" si="3"/>
        <v>0</v>
      </c>
      <c r="V55" s="81"/>
      <c r="W55" s="95">
        <v>610</v>
      </c>
      <c r="X55" s="98" t="e">
        <f>Conversions!$L$6*Conversions!$N68*Conversions!$V68*Conversions!$C$9</f>
        <v>#DIV/0!</v>
      </c>
      <c r="Y55" s="98" t="e">
        <f>Conversions!$L$6*Conversions!$N68</f>
        <v>#DIV/0!</v>
      </c>
      <c r="Z55" s="99" t="e">
        <f>Conversions!$L$6*Conversions!$N68*$W55*Conversions!$C$10</f>
        <v>#DIV/0!</v>
      </c>
      <c r="AA55" s="81"/>
      <c r="AB55" s="95">
        <v>610</v>
      </c>
      <c r="AC55" s="81" t="e">
        <f>Conversions!N68*Conversions!$L$6</f>
        <v>#DIV/0!</v>
      </c>
      <c r="AD55" s="81" t="e">
        <f>Conversions!N68*Conversions!$L$6*Conversions!Y68/MAX(Conversions!$Y$22:$Y$102)</f>
        <v>#DIV/0!</v>
      </c>
      <c r="AG55" s="81">
        <f t="shared" si="1"/>
        <v>610</v>
      </c>
      <c r="AH55" s="142">
        <v>0</v>
      </c>
      <c r="AI55" s="201">
        <f t="shared" si="2"/>
      </c>
    </row>
    <row r="56" spans="3:35" ht="15">
      <c r="C56" s="135"/>
      <c r="D56" s="107"/>
      <c r="E56" s="111"/>
      <c r="F56" s="103"/>
      <c r="G56" s="126"/>
      <c r="H56" s="127"/>
      <c r="I56" s="136"/>
      <c r="S56" s="95"/>
      <c r="T56" s="95">
        <v>615</v>
      </c>
      <c r="U56" s="98">
        <f t="shared" si="3"/>
        <v>0</v>
      </c>
      <c r="V56" s="81"/>
      <c r="W56" s="95">
        <v>615</v>
      </c>
      <c r="X56" s="98" t="e">
        <f>Conversions!$L$6*Conversions!$N69*Conversions!$V69*Conversions!$C$9</f>
        <v>#DIV/0!</v>
      </c>
      <c r="Y56" s="98" t="e">
        <f>Conversions!$L$6*Conversions!$N69</f>
        <v>#DIV/0!</v>
      </c>
      <c r="Z56" s="99" t="e">
        <f>Conversions!$L$6*Conversions!$N69*$W56*Conversions!$C$10</f>
        <v>#DIV/0!</v>
      </c>
      <c r="AA56" s="81"/>
      <c r="AB56" s="95">
        <v>615</v>
      </c>
      <c r="AC56" s="81" t="e">
        <f>Conversions!N69*Conversions!$L$6</f>
        <v>#DIV/0!</v>
      </c>
      <c r="AD56" s="81" t="e">
        <f>Conversions!N69*Conversions!$L$6*Conversions!Y69/MAX(Conversions!$Y$22:$Y$102)</f>
        <v>#DIV/0!</v>
      </c>
      <c r="AG56" s="81">
        <f t="shared" si="1"/>
        <v>615</v>
      </c>
      <c r="AH56" s="142">
        <v>0</v>
      </c>
      <c r="AI56" s="201">
        <f t="shared" si="2"/>
      </c>
    </row>
    <row r="57" spans="3:35" ht="15">
      <c r="C57" s="104"/>
      <c r="D57" s="116"/>
      <c r="E57" s="117"/>
      <c r="F57" s="137"/>
      <c r="G57" s="138"/>
      <c r="H57" s="138"/>
      <c r="I57" s="139"/>
      <c r="S57" s="95"/>
      <c r="T57" s="95">
        <v>620</v>
      </c>
      <c r="U57" s="98">
        <f t="shared" si="3"/>
        <v>0</v>
      </c>
      <c r="V57" s="81"/>
      <c r="W57" s="95">
        <v>620</v>
      </c>
      <c r="X57" s="98" t="e">
        <f>Conversions!$L$6*Conversions!$N70*Conversions!$V70*Conversions!$C$9</f>
        <v>#DIV/0!</v>
      </c>
      <c r="Y57" s="98" t="e">
        <f>Conversions!$L$6*Conversions!$N70</f>
        <v>#DIV/0!</v>
      </c>
      <c r="Z57" s="99" t="e">
        <f>Conversions!$L$6*Conversions!$N70*$W57*Conversions!$C$10</f>
        <v>#DIV/0!</v>
      </c>
      <c r="AA57" s="81"/>
      <c r="AB57" s="95">
        <v>620</v>
      </c>
      <c r="AC57" s="81" t="e">
        <f>Conversions!N70*Conversions!$L$6</f>
        <v>#DIV/0!</v>
      </c>
      <c r="AD57" s="81" t="e">
        <f>Conversions!N70*Conversions!$L$6*Conversions!Y70/MAX(Conversions!$Y$22:$Y$102)</f>
        <v>#DIV/0!</v>
      </c>
      <c r="AG57" s="81">
        <f t="shared" si="1"/>
        <v>620</v>
      </c>
      <c r="AH57" s="142">
        <v>0</v>
      </c>
      <c r="AI57" s="201">
        <f t="shared" si="2"/>
      </c>
    </row>
    <row r="58" spans="3:35" ht="15">
      <c r="C58" s="92"/>
      <c r="D58" s="107"/>
      <c r="E58" s="111"/>
      <c r="F58" s="137"/>
      <c r="G58" s="138"/>
      <c r="H58" s="138"/>
      <c r="I58" s="139"/>
      <c r="S58" s="95"/>
      <c r="T58" s="95">
        <v>625</v>
      </c>
      <c r="U58" s="98">
        <f t="shared" si="3"/>
        <v>0</v>
      </c>
      <c r="V58" s="81"/>
      <c r="W58" s="95">
        <v>625</v>
      </c>
      <c r="X58" s="98" t="e">
        <f>Conversions!$L$6*Conversions!$N71*Conversions!$V71*Conversions!$C$9</f>
        <v>#DIV/0!</v>
      </c>
      <c r="Y58" s="98" t="e">
        <f>Conversions!$L$6*Conversions!$N71</f>
        <v>#DIV/0!</v>
      </c>
      <c r="Z58" s="99" t="e">
        <f>Conversions!$L$6*Conversions!$N71*$W58*Conversions!$C$10</f>
        <v>#DIV/0!</v>
      </c>
      <c r="AA58" s="81"/>
      <c r="AB58" s="95">
        <v>625</v>
      </c>
      <c r="AC58" s="81" t="e">
        <f>Conversions!N71*Conversions!$L$6</f>
        <v>#DIV/0!</v>
      </c>
      <c r="AD58" s="81" t="e">
        <f>Conversions!N71*Conversions!$L$6*Conversions!Y71/MAX(Conversions!$Y$22:$Y$102)</f>
        <v>#DIV/0!</v>
      </c>
      <c r="AG58" s="81">
        <f t="shared" si="1"/>
        <v>625</v>
      </c>
      <c r="AH58" s="142">
        <v>0</v>
      </c>
      <c r="AI58" s="201">
        <f t="shared" si="2"/>
      </c>
    </row>
    <row r="59" spans="3:35" ht="15">
      <c r="C59" s="92"/>
      <c r="D59" s="107"/>
      <c r="E59" s="111"/>
      <c r="F59" s="137"/>
      <c r="G59" s="138"/>
      <c r="H59" s="138"/>
      <c r="I59" s="139"/>
      <c r="S59" s="95"/>
      <c r="T59" s="95">
        <v>630</v>
      </c>
      <c r="U59" s="98">
        <f t="shared" si="3"/>
        <v>0</v>
      </c>
      <c r="V59" s="81"/>
      <c r="W59" s="95">
        <v>630</v>
      </c>
      <c r="X59" s="98" t="e">
        <f>Conversions!$L$6*Conversions!$N72*Conversions!$V72*Conversions!$C$9</f>
        <v>#DIV/0!</v>
      </c>
      <c r="Y59" s="98" t="e">
        <f>Conversions!$L$6*Conversions!$N72</f>
        <v>#DIV/0!</v>
      </c>
      <c r="Z59" s="99" t="e">
        <f>Conversions!$L$6*Conversions!$N72*$W59*Conversions!$C$10</f>
        <v>#DIV/0!</v>
      </c>
      <c r="AA59" s="81"/>
      <c r="AB59" s="95">
        <v>630</v>
      </c>
      <c r="AC59" s="81" t="e">
        <f>Conversions!N72*Conversions!$L$6</f>
        <v>#DIV/0!</v>
      </c>
      <c r="AD59" s="81" t="e">
        <f>Conversions!N72*Conversions!$L$6*Conversions!Y72/MAX(Conversions!$Y$22:$Y$102)</f>
        <v>#DIV/0!</v>
      </c>
      <c r="AG59" s="81">
        <f t="shared" si="1"/>
        <v>630</v>
      </c>
      <c r="AH59" s="142">
        <v>0</v>
      </c>
      <c r="AI59" s="201">
        <f t="shared" si="2"/>
      </c>
    </row>
    <row r="60" spans="3:35" ht="15">
      <c r="C60" s="92"/>
      <c r="D60" s="120"/>
      <c r="E60" s="121"/>
      <c r="F60" s="137"/>
      <c r="G60" s="138"/>
      <c r="H60" s="138"/>
      <c r="I60" s="139"/>
      <c r="S60" s="95"/>
      <c r="T60" s="95">
        <v>635</v>
      </c>
      <c r="U60" s="98">
        <f t="shared" si="3"/>
        <v>0</v>
      </c>
      <c r="V60" s="81"/>
      <c r="W60" s="95">
        <v>635</v>
      </c>
      <c r="X60" s="98" t="e">
        <f>Conversions!$L$6*Conversions!$N73*Conversions!$V73*Conversions!$C$9</f>
        <v>#DIV/0!</v>
      </c>
      <c r="Y60" s="98" t="e">
        <f>Conversions!$L$6*Conversions!$N73</f>
        <v>#DIV/0!</v>
      </c>
      <c r="Z60" s="99" t="e">
        <f>Conversions!$L$6*Conversions!$N73*$W60*Conversions!$C$10</f>
        <v>#DIV/0!</v>
      </c>
      <c r="AA60" s="81"/>
      <c r="AB60" s="95">
        <v>635</v>
      </c>
      <c r="AC60" s="81" t="e">
        <f>Conversions!N73*Conversions!$L$6</f>
        <v>#DIV/0!</v>
      </c>
      <c r="AD60" s="81" t="e">
        <f>Conversions!N73*Conversions!$L$6*Conversions!Y73/MAX(Conversions!$Y$22:$Y$102)</f>
        <v>#DIV/0!</v>
      </c>
      <c r="AG60" s="81">
        <f t="shared" si="1"/>
        <v>635</v>
      </c>
      <c r="AH60" s="142">
        <v>0</v>
      </c>
      <c r="AI60" s="201">
        <f t="shared" si="2"/>
      </c>
    </row>
    <row r="61" spans="3:35" ht="15">
      <c r="C61" s="92"/>
      <c r="D61" s="87"/>
      <c r="E61" s="122"/>
      <c r="F61" s="137"/>
      <c r="G61" s="138"/>
      <c r="H61" s="138"/>
      <c r="I61" s="139"/>
      <c r="S61" s="95"/>
      <c r="T61" s="95">
        <v>640</v>
      </c>
      <c r="U61" s="98">
        <f t="shared" si="3"/>
        <v>0</v>
      </c>
      <c r="V61" s="81"/>
      <c r="W61" s="95">
        <v>640</v>
      </c>
      <c r="X61" s="98" t="e">
        <f>Conversions!$L$6*Conversions!$N74*Conversions!$V74*Conversions!$C$9</f>
        <v>#DIV/0!</v>
      </c>
      <c r="Y61" s="98" t="e">
        <f>Conversions!$L$6*Conversions!$N74</f>
        <v>#DIV/0!</v>
      </c>
      <c r="Z61" s="99" t="e">
        <f>Conversions!$L$6*Conversions!$N74*$W61*Conversions!$C$10</f>
        <v>#DIV/0!</v>
      </c>
      <c r="AA61" s="81"/>
      <c r="AB61" s="95">
        <v>640</v>
      </c>
      <c r="AC61" s="81" t="e">
        <f>Conversions!N74*Conversions!$L$6</f>
        <v>#DIV/0!</v>
      </c>
      <c r="AD61" s="81" t="e">
        <f>Conversions!N74*Conversions!$L$6*Conversions!Y74/MAX(Conversions!$Y$22:$Y$102)</f>
        <v>#DIV/0!</v>
      </c>
      <c r="AG61" s="81">
        <f t="shared" si="1"/>
        <v>640</v>
      </c>
      <c r="AH61" s="142">
        <v>0</v>
      </c>
      <c r="AI61" s="201">
        <f t="shared" si="2"/>
      </c>
    </row>
    <row r="62" spans="19:35" ht="13.5">
      <c r="S62" s="95"/>
      <c r="T62" s="95">
        <v>645</v>
      </c>
      <c r="U62" s="98">
        <f t="shared" si="3"/>
        <v>0</v>
      </c>
      <c r="V62" s="81"/>
      <c r="W62" s="95">
        <v>645</v>
      </c>
      <c r="X62" s="98" t="e">
        <f>Conversions!$L$6*Conversions!$N75*Conversions!$V75*Conversions!$C$9</f>
        <v>#DIV/0!</v>
      </c>
      <c r="Y62" s="98" t="e">
        <f>Conversions!$L$6*Conversions!$N75</f>
        <v>#DIV/0!</v>
      </c>
      <c r="Z62" s="99" t="e">
        <f>Conversions!$L$6*Conversions!$N75*$W62*Conversions!$C$10</f>
        <v>#DIV/0!</v>
      </c>
      <c r="AA62" s="81"/>
      <c r="AB62" s="95">
        <v>645</v>
      </c>
      <c r="AC62" s="81" t="e">
        <f>Conversions!N75*Conversions!$L$6</f>
        <v>#DIV/0!</v>
      </c>
      <c r="AD62" s="81" t="e">
        <f>Conversions!N75*Conversions!$L$6*Conversions!Y75/MAX(Conversions!$Y$22:$Y$102)</f>
        <v>#DIV/0!</v>
      </c>
      <c r="AG62" s="81">
        <f t="shared" si="1"/>
        <v>645</v>
      </c>
      <c r="AH62" s="142">
        <v>0</v>
      </c>
      <c r="AI62" s="201">
        <f t="shared" si="2"/>
      </c>
    </row>
    <row r="63" spans="7:35" ht="13.5">
      <c r="G63" s="140"/>
      <c r="S63" s="95"/>
      <c r="T63" s="95">
        <v>650</v>
      </c>
      <c r="U63" s="98">
        <f t="shared" si="3"/>
        <v>0</v>
      </c>
      <c r="V63" s="81"/>
      <c r="W63" s="95">
        <v>650</v>
      </c>
      <c r="X63" s="98" t="e">
        <f>Conversions!$L$6*Conversions!$N76*Conversions!$V76*Conversions!$C$9</f>
        <v>#DIV/0!</v>
      </c>
      <c r="Y63" s="98" t="e">
        <f>Conversions!$L$6*Conversions!$N76</f>
        <v>#DIV/0!</v>
      </c>
      <c r="Z63" s="99" t="e">
        <f>Conversions!$L$6*Conversions!$N76*$W63*Conversions!$C$10</f>
        <v>#DIV/0!</v>
      </c>
      <c r="AA63" s="81"/>
      <c r="AB63" s="95">
        <v>650</v>
      </c>
      <c r="AC63" s="81" t="e">
        <f>Conversions!N76*Conversions!$L$6</f>
        <v>#DIV/0!</v>
      </c>
      <c r="AD63" s="81" t="e">
        <f>Conversions!N76*Conversions!$L$6*Conversions!Y76/MAX(Conversions!$Y$22:$Y$102)</f>
        <v>#DIV/0!</v>
      </c>
      <c r="AG63" s="81">
        <f t="shared" si="1"/>
        <v>650</v>
      </c>
      <c r="AH63" s="142">
        <v>0</v>
      </c>
      <c r="AI63" s="201">
        <f t="shared" si="2"/>
      </c>
    </row>
    <row r="64" spans="19:35" ht="13.5">
      <c r="S64" s="95"/>
      <c r="T64" s="95">
        <v>655</v>
      </c>
      <c r="U64" s="98">
        <f t="shared" si="3"/>
        <v>0</v>
      </c>
      <c r="V64" s="81"/>
      <c r="W64" s="95">
        <v>655</v>
      </c>
      <c r="X64" s="98" t="e">
        <f>Conversions!$L$6*Conversions!$N77*Conversions!$V77*Conversions!$C$9</f>
        <v>#DIV/0!</v>
      </c>
      <c r="Y64" s="98" t="e">
        <f>Conversions!$L$6*Conversions!$N77</f>
        <v>#DIV/0!</v>
      </c>
      <c r="Z64" s="99" t="e">
        <f>Conversions!$L$6*Conversions!$N77*$W64*Conversions!$C$10</f>
        <v>#DIV/0!</v>
      </c>
      <c r="AA64" s="81"/>
      <c r="AB64" s="95">
        <v>655</v>
      </c>
      <c r="AC64" s="81" t="e">
        <f>Conversions!N77*Conversions!$L$6</f>
        <v>#DIV/0!</v>
      </c>
      <c r="AD64" s="81" t="e">
        <f>Conversions!N77*Conversions!$L$6*Conversions!Y77/MAX(Conversions!$Y$22:$Y$102)</f>
        <v>#DIV/0!</v>
      </c>
      <c r="AG64" s="81">
        <f t="shared" si="1"/>
        <v>655</v>
      </c>
      <c r="AH64" s="142">
        <v>0</v>
      </c>
      <c r="AI64" s="201">
        <f t="shared" si="2"/>
      </c>
    </row>
    <row r="65" spans="19:35" ht="13.5">
      <c r="S65" s="95"/>
      <c r="T65" s="95">
        <v>660</v>
      </c>
      <c r="U65" s="98">
        <f t="shared" si="3"/>
        <v>0</v>
      </c>
      <c r="V65" s="81"/>
      <c r="W65" s="95">
        <v>660</v>
      </c>
      <c r="X65" s="98" t="e">
        <f>Conversions!$L$6*Conversions!$N78*Conversions!$V78*Conversions!$C$9</f>
        <v>#DIV/0!</v>
      </c>
      <c r="Y65" s="98" t="e">
        <f>Conversions!$L$6*Conversions!$N78</f>
        <v>#DIV/0!</v>
      </c>
      <c r="Z65" s="99" t="e">
        <f>Conversions!$L$6*Conversions!$N78*$W65*Conversions!$C$10</f>
        <v>#DIV/0!</v>
      </c>
      <c r="AA65" s="81"/>
      <c r="AB65" s="95">
        <v>660</v>
      </c>
      <c r="AC65" s="81" t="e">
        <f>Conversions!N78*Conversions!$L$6</f>
        <v>#DIV/0!</v>
      </c>
      <c r="AD65" s="81" t="e">
        <f>Conversions!N78*Conversions!$L$6*Conversions!Y78/MAX(Conversions!$Y$22:$Y$102)</f>
        <v>#DIV/0!</v>
      </c>
      <c r="AG65" s="81">
        <f t="shared" si="1"/>
        <v>660</v>
      </c>
      <c r="AH65" s="142">
        <v>0</v>
      </c>
      <c r="AI65" s="201">
        <f t="shared" si="2"/>
      </c>
    </row>
    <row r="66" spans="19:35" ht="13.5">
      <c r="S66" s="95"/>
      <c r="T66" s="95">
        <v>665</v>
      </c>
      <c r="U66" s="98">
        <f t="shared" si="3"/>
        <v>0</v>
      </c>
      <c r="V66" s="81"/>
      <c r="W66" s="95">
        <v>665</v>
      </c>
      <c r="X66" s="98" t="e">
        <f>Conversions!$L$6*Conversions!$N79*Conversions!$V79*Conversions!$C$9</f>
        <v>#DIV/0!</v>
      </c>
      <c r="Y66" s="98" t="e">
        <f>Conversions!$L$6*Conversions!$N79</f>
        <v>#DIV/0!</v>
      </c>
      <c r="Z66" s="99" t="e">
        <f>Conversions!$L$6*Conversions!$N79*$W66*Conversions!$C$10</f>
        <v>#DIV/0!</v>
      </c>
      <c r="AA66" s="81"/>
      <c r="AB66" s="95">
        <v>665</v>
      </c>
      <c r="AC66" s="81" t="e">
        <f>Conversions!N79*Conversions!$L$6</f>
        <v>#DIV/0!</v>
      </c>
      <c r="AD66" s="81" t="e">
        <f>Conversions!N79*Conversions!$L$6*Conversions!Y79/MAX(Conversions!$Y$22:$Y$102)</f>
        <v>#DIV/0!</v>
      </c>
      <c r="AG66" s="81">
        <f t="shared" si="1"/>
        <v>665</v>
      </c>
      <c r="AH66" s="142">
        <v>0</v>
      </c>
      <c r="AI66" s="201">
        <f t="shared" si="2"/>
      </c>
    </row>
    <row r="67" spans="19:35" ht="13.5">
      <c r="S67" s="95"/>
      <c r="T67" s="95">
        <v>670</v>
      </c>
      <c r="U67" s="98">
        <f t="shared" si="3"/>
        <v>0</v>
      </c>
      <c r="V67" s="81"/>
      <c r="W67" s="95">
        <v>670</v>
      </c>
      <c r="X67" s="98" t="e">
        <f>Conversions!$L$6*Conversions!$N80*Conversions!$V80*Conversions!$C$9</f>
        <v>#DIV/0!</v>
      </c>
      <c r="Y67" s="98" t="e">
        <f>Conversions!$L$6*Conversions!$N80</f>
        <v>#DIV/0!</v>
      </c>
      <c r="Z67" s="99" t="e">
        <f>Conversions!$L$6*Conversions!$N80*$W67*Conversions!$C$10</f>
        <v>#DIV/0!</v>
      </c>
      <c r="AA67" s="81"/>
      <c r="AB67" s="95">
        <v>670</v>
      </c>
      <c r="AC67" s="81" t="e">
        <f>Conversions!N80*Conversions!$L$6</f>
        <v>#DIV/0!</v>
      </c>
      <c r="AD67" s="81" t="e">
        <f>Conversions!N80*Conversions!$L$6*Conversions!Y80/MAX(Conversions!$Y$22:$Y$102)</f>
        <v>#DIV/0!</v>
      </c>
      <c r="AG67" s="81">
        <f t="shared" si="1"/>
        <v>670</v>
      </c>
      <c r="AH67" s="142">
        <v>0</v>
      </c>
      <c r="AI67" s="201">
        <f t="shared" si="2"/>
      </c>
    </row>
    <row r="68" spans="19:35" ht="13.5">
      <c r="S68" s="95"/>
      <c r="T68" s="95">
        <v>675</v>
      </c>
      <c r="U68" s="98">
        <f t="shared" si="3"/>
        <v>0</v>
      </c>
      <c r="V68" s="81"/>
      <c r="W68" s="95">
        <v>675</v>
      </c>
      <c r="X68" s="98" t="e">
        <f>Conversions!$L$6*Conversions!$N81*Conversions!$V81*Conversions!$C$9</f>
        <v>#DIV/0!</v>
      </c>
      <c r="Y68" s="98" t="e">
        <f>Conversions!$L$6*Conversions!$N81</f>
        <v>#DIV/0!</v>
      </c>
      <c r="Z68" s="99" t="e">
        <f>Conversions!$L$6*Conversions!$N81*$W68*Conversions!$C$10</f>
        <v>#DIV/0!</v>
      </c>
      <c r="AA68" s="81"/>
      <c r="AB68" s="95">
        <v>675</v>
      </c>
      <c r="AC68" s="81" t="e">
        <f>Conversions!N81*Conversions!$L$6</f>
        <v>#DIV/0!</v>
      </c>
      <c r="AD68" s="81" t="e">
        <f>Conversions!N81*Conversions!$L$6*Conversions!Y81/MAX(Conversions!$Y$22:$Y$102)</f>
        <v>#DIV/0!</v>
      </c>
      <c r="AG68" s="81">
        <f t="shared" si="1"/>
        <v>675</v>
      </c>
      <c r="AH68" s="142">
        <v>0</v>
      </c>
      <c r="AI68" s="201">
        <f t="shared" si="2"/>
      </c>
    </row>
    <row r="69" spans="19:35" ht="13.5">
      <c r="S69" s="95"/>
      <c r="T69" s="95">
        <v>680</v>
      </c>
      <c r="U69" s="98">
        <f t="shared" si="3"/>
        <v>0</v>
      </c>
      <c r="V69" s="81"/>
      <c r="W69" s="95">
        <v>680</v>
      </c>
      <c r="X69" s="98" t="e">
        <f>Conversions!$L$6*Conversions!$N82*Conversions!$V82*Conversions!$C$9</f>
        <v>#DIV/0!</v>
      </c>
      <c r="Y69" s="98" t="e">
        <f>Conversions!$L$6*Conversions!$N82</f>
        <v>#DIV/0!</v>
      </c>
      <c r="Z69" s="99" t="e">
        <f>Conversions!$L$6*Conversions!$N82*$W69*Conversions!$C$10</f>
        <v>#DIV/0!</v>
      </c>
      <c r="AA69" s="81"/>
      <c r="AB69" s="95">
        <v>680</v>
      </c>
      <c r="AC69" s="81" t="e">
        <f>Conversions!N82*Conversions!$L$6</f>
        <v>#DIV/0!</v>
      </c>
      <c r="AD69" s="81" t="e">
        <f>Conversions!N82*Conversions!$L$6*Conversions!Y82/MAX(Conversions!$Y$22:$Y$102)</f>
        <v>#DIV/0!</v>
      </c>
      <c r="AG69" s="81">
        <f t="shared" si="1"/>
        <v>680</v>
      </c>
      <c r="AH69" s="142">
        <v>0</v>
      </c>
      <c r="AI69" s="201">
        <f t="shared" si="2"/>
      </c>
    </row>
    <row r="70" spans="19:35" ht="13.5">
      <c r="S70" s="95"/>
      <c r="T70" s="95">
        <v>685</v>
      </c>
      <c r="U70" s="98">
        <f t="shared" si="3"/>
        <v>0</v>
      </c>
      <c r="V70" s="81"/>
      <c r="W70" s="95">
        <v>685</v>
      </c>
      <c r="X70" s="98" t="e">
        <f>Conversions!$L$6*Conversions!$N83*Conversions!$V83*Conversions!$C$9</f>
        <v>#DIV/0!</v>
      </c>
      <c r="Y70" s="98" t="e">
        <f>Conversions!$L$6*Conversions!$N83</f>
        <v>#DIV/0!</v>
      </c>
      <c r="Z70" s="99" t="e">
        <f>Conversions!$L$6*Conversions!$N83*$W70*Conversions!$C$10</f>
        <v>#DIV/0!</v>
      </c>
      <c r="AA70" s="81"/>
      <c r="AB70" s="95">
        <v>685</v>
      </c>
      <c r="AC70" s="81" t="e">
        <f>Conversions!N83*Conversions!$L$6</f>
        <v>#DIV/0!</v>
      </c>
      <c r="AD70" s="81" t="e">
        <f>Conversions!N83*Conversions!$L$6*Conversions!Y83/MAX(Conversions!$Y$22:$Y$102)</f>
        <v>#DIV/0!</v>
      </c>
      <c r="AG70" s="81">
        <f t="shared" si="1"/>
        <v>685</v>
      </c>
      <c r="AH70" s="142">
        <v>0</v>
      </c>
      <c r="AI70" s="201">
        <f t="shared" si="2"/>
      </c>
    </row>
    <row r="71" spans="19:35" ht="13.5">
      <c r="S71" s="95"/>
      <c r="T71" s="95">
        <v>690</v>
      </c>
      <c r="U71" s="98">
        <f t="shared" si="3"/>
        <v>0</v>
      </c>
      <c r="V71" s="81"/>
      <c r="W71" s="95">
        <v>690</v>
      </c>
      <c r="X71" s="98" t="e">
        <f>Conversions!$L$6*Conversions!$N84*Conversions!$V84*Conversions!$C$9</f>
        <v>#DIV/0!</v>
      </c>
      <c r="Y71" s="98" t="e">
        <f>Conversions!$L$6*Conversions!$N84</f>
        <v>#DIV/0!</v>
      </c>
      <c r="Z71" s="99" t="e">
        <f>Conversions!$L$6*Conversions!$N84*$W71*Conversions!$C$10</f>
        <v>#DIV/0!</v>
      </c>
      <c r="AA71" s="81"/>
      <c r="AB71" s="95">
        <v>690</v>
      </c>
      <c r="AC71" s="81" t="e">
        <f>Conversions!N84*Conversions!$L$6</f>
        <v>#DIV/0!</v>
      </c>
      <c r="AD71" s="81" t="e">
        <f>Conversions!N84*Conversions!$L$6*Conversions!Y84/MAX(Conversions!$Y$22:$Y$102)</f>
        <v>#DIV/0!</v>
      </c>
      <c r="AG71" s="81">
        <f t="shared" si="1"/>
        <v>690</v>
      </c>
      <c r="AH71" s="142">
        <v>0</v>
      </c>
      <c r="AI71" s="201">
        <f t="shared" si="2"/>
      </c>
    </row>
    <row r="72" spans="19:35" ht="13.5">
      <c r="S72" s="95"/>
      <c r="T72" s="95">
        <v>695</v>
      </c>
      <c r="U72" s="98">
        <f t="shared" si="3"/>
        <v>0</v>
      </c>
      <c r="V72" s="81"/>
      <c r="W72" s="95">
        <v>695</v>
      </c>
      <c r="X72" s="98" t="e">
        <f>Conversions!$L$6*Conversions!$N85*Conversions!$V85*Conversions!$C$9</f>
        <v>#DIV/0!</v>
      </c>
      <c r="Y72" s="98" t="e">
        <f>Conversions!$L$6*Conversions!$N85</f>
        <v>#DIV/0!</v>
      </c>
      <c r="Z72" s="99" t="e">
        <f>Conversions!$L$6*Conversions!$N85*$W72*Conversions!$C$10</f>
        <v>#DIV/0!</v>
      </c>
      <c r="AA72" s="81"/>
      <c r="AB72" s="95">
        <v>695</v>
      </c>
      <c r="AC72" s="81" t="e">
        <f>Conversions!N85*Conversions!$L$6</f>
        <v>#DIV/0!</v>
      </c>
      <c r="AD72" s="81" t="e">
        <f>Conversions!N85*Conversions!$L$6*Conversions!Y85/MAX(Conversions!$Y$22:$Y$102)</f>
        <v>#DIV/0!</v>
      </c>
      <c r="AG72" s="81">
        <f t="shared" si="1"/>
        <v>695</v>
      </c>
      <c r="AH72" s="142">
        <v>0</v>
      </c>
      <c r="AI72" s="201">
        <f t="shared" si="2"/>
      </c>
    </row>
    <row r="73" spans="19:35" ht="13.5">
      <c r="S73" s="95"/>
      <c r="T73" s="95">
        <v>700</v>
      </c>
      <c r="U73" s="98">
        <f aca="true" t="shared" si="4" ref="U73:U89">VLOOKUP($T73,$AG$9:$AI$413,IF($D$6="1nm spectral data",3,2),0)</f>
        <v>0</v>
      </c>
      <c r="V73" s="81"/>
      <c r="W73" s="95">
        <v>700</v>
      </c>
      <c r="X73" s="98" t="e">
        <f>Conversions!$L$6*Conversions!$N86*Conversions!$V86*Conversions!$C$9</f>
        <v>#DIV/0!</v>
      </c>
      <c r="Y73" s="98" t="e">
        <f>Conversions!$L$6*Conversions!$N86</f>
        <v>#DIV/0!</v>
      </c>
      <c r="Z73" s="99" t="e">
        <f>Conversions!$L$6*Conversions!$N86*$W73*Conversions!$C$10</f>
        <v>#DIV/0!</v>
      </c>
      <c r="AA73" s="81"/>
      <c r="AB73" s="95">
        <v>700</v>
      </c>
      <c r="AC73" s="81" t="e">
        <f>Conversions!N86*Conversions!$L$6</f>
        <v>#DIV/0!</v>
      </c>
      <c r="AD73" s="81" t="e">
        <f>Conversions!N86*Conversions!$L$6*Conversions!Y86/MAX(Conversions!$Y$22:$Y$102)</f>
        <v>#DIV/0!</v>
      </c>
      <c r="AG73" s="81">
        <f aca="true" t="shared" si="5" ref="AG73:AG136">IF(ROW()&gt;IF($D$6="1nm spectral data",413,89),"",IF($D$6="1nm spectral data",378,380)+IF($D$6="1nm spectral data",1,5)*(ROW()-9))</f>
        <v>700</v>
      </c>
      <c r="AH73" s="142">
        <v>0</v>
      </c>
      <c r="AI73" s="201">
        <f t="shared" si="2"/>
      </c>
    </row>
    <row r="74" spans="19:35" ht="13.5">
      <c r="S74" s="95"/>
      <c r="T74" s="95">
        <v>705</v>
      </c>
      <c r="U74" s="98">
        <f t="shared" si="4"/>
        <v>0</v>
      </c>
      <c r="V74" s="81"/>
      <c r="W74" s="95">
        <v>705</v>
      </c>
      <c r="X74" s="98" t="e">
        <f>Conversions!$L$6*Conversions!$N87*Conversions!$V87*Conversions!$C$9</f>
        <v>#DIV/0!</v>
      </c>
      <c r="Y74" s="98" t="e">
        <f>Conversions!$L$6*Conversions!$N87</f>
        <v>#DIV/0!</v>
      </c>
      <c r="Z74" s="99" t="e">
        <f>Conversions!$L$6*Conversions!$N87*$W74*Conversions!$C$10</f>
        <v>#DIV/0!</v>
      </c>
      <c r="AA74" s="81"/>
      <c r="AB74" s="95">
        <v>705</v>
      </c>
      <c r="AC74" s="81" t="e">
        <f>Conversions!N87*Conversions!$L$6</f>
        <v>#DIV/0!</v>
      </c>
      <c r="AD74" s="81" t="e">
        <f>Conversions!N87*Conversions!$L$6*Conversions!Y87/MAX(Conversions!$Y$22:$Y$102)</f>
        <v>#DIV/0!</v>
      </c>
      <c r="AG74" s="81">
        <f t="shared" si="5"/>
        <v>705</v>
      </c>
      <c r="AH74" s="142">
        <v>0</v>
      </c>
      <c r="AI74" s="201">
        <f t="shared" si="2"/>
      </c>
    </row>
    <row r="75" spans="19:35" ht="13.5">
      <c r="S75" s="95"/>
      <c r="T75" s="95">
        <v>710</v>
      </c>
      <c r="U75" s="98">
        <f t="shared" si="4"/>
        <v>0</v>
      </c>
      <c r="V75" s="81"/>
      <c r="W75" s="95">
        <v>710</v>
      </c>
      <c r="X75" s="98" t="e">
        <f>Conversions!$L$6*Conversions!$N88*Conversions!$V88*Conversions!$C$9</f>
        <v>#DIV/0!</v>
      </c>
      <c r="Y75" s="98" t="e">
        <f>Conversions!$L$6*Conversions!$N88</f>
        <v>#DIV/0!</v>
      </c>
      <c r="Z75" s="99" t="e">
        <f>Conversions!$L$6*Conversions!$N88*$W75*Conversions!$C$10</f>
        <v>#DIV/0!</v>
      </c>
      <c r="AA75" s="81"/>
      <c r="AB75" s="95">
        <v>710</v>
      </c>
      <c r="AC75" s="81" t="e">
        <f>Conversions!N88*Conversions!$L$6</f>
        <v>#DIV/0!</v>
      </c>
      <c r="AD75" s="81" t="e">
        <f>Conversions!N88*Conversions!$L$6*Conversions!Y88/MAX(Conversions!$Y$22:$Y$102)</f>
        <v>#DIV/0!</v>
      </c>
      <c r="AG75" s="81">
        <f t="shared" si="5"/>
        <v>710</v>
      </c>
      <c r="AH75" s="142">
        <v>0</v>
      </c>
      <c r="AI75" s="201">
        <f t="shared" si="2"/>
      </c>
    </row>
    <row r="76" spans="19:35" ht="13.5">
      <c r="S76" s="95"/>
      <c r="T76" s="95">
        <v>715</v>
      </c>
      <c r="U76" s="98">
        <f t="shared" si="4"/>
        <v>0</v>
      </c>
      <c r="V76" s="81"/>
      <c r="W76" s="95">
        <v>715</v>
      </c>
      <c r="X76" s="98" t="e">
        <f>Conversions!$L$6*Conversions!$N89*Conversions!$V89*Conversions!$C$9</f>
        <v>#DIV/0!</v>
      </c>
      <c r="Y76" s="98" t="e">
        <f>Conversions!$L$6*Conversions!$N89</f>
        <v>#DIV/0!</v>
      </c>
      <c r="Z76" s="99" t="e">
        <f>Conversions!$L$6*Conversions!$N89*$W76*Conversions!$C$10</f>
        <v>#DIV/0!</v>
      </c>
      <c r="AA76" s="81"/>
      <c r="AB76" s="95">
        <v>715</v>
      </c>
      <c r="AC76" s="81" t="e">
        <f>Conversions!N89*Conversions!$L$6</f>
        <v>#DIV/0!</v>
      </c>
      <c r="AD76" s="81" t="e">
        <f>Conversions!N89*Conversions!$L$6*Conversions!Y89/MAX(Conversions!$Y$22:$Y$102)</f>
        <v>#DIV/0!</v>
      </c>
      <c r="AG76" s="81">
        <f t="shared" si="5"/>
        <v>715</v>
      </c>
      <c r="AH76" s="142">
        <v>0</v>
      </c>
      <c r="AI76" s="201">
        <f aca="true" t="shared" si="6" ref="AI76:AI139">IF(AND($D$6="1nm spectral data",$AG76&lt;&gt;""),IF($AG76/5=INT($AG76/5),SUM($AH74:$AH78),""),"")</f>
      </c>
    </row>
    <row r="77" spans="19:35" ht="13.5">
      <c r="S77" s="95"/>
      <c r="T77" s="95">
        <v>720</v>
      </c>
      <c r="U77" s="98">
        <f t="shared" si="4"/>
        <v>0</v>
      </c>
      <c r="V77" s="81"/>
      <c r="W77" s="95">
        <v>720</v>
      </c>
      <c r="X77" s="98" t="e">
        <f>Conversions!$L$6*Conversions!$N90*Conversions!$V90*Conversions!$C$9</f>
        <v>#DIV/0!</v>
      </c>
      <c r="Y77" s="98" t="e">
        <f>Conversions!$L$6*Conversions!$N90</f>
        <v>#DIV/0!</v>
      </c>
      <c r="Z77" s="99" t="e">
        <f>Conversions!$L$6*Conversions!$N90*$W77*Conversions!$C$10</f>
        <v>#DIV/0!</v>
      </c>
      <c r="AA77" s="81"/>
      <c r="AB77" s="95">
        <v>720</v>
      </c>
      <c r="AC77" s="81" t="e">
        <f>Conversions!N90*Conversions!$L$6</f>
        <v>#DIV/0!</v>
      </c>
      <c r="AD77" s="81" t="e">
        <f>Conversions!N90*Conversions!$L$6*Conversions!Y90/MAX(Conversions!$Y$22:$Y$102)</f>
        <v>#DIV/0!</v>
      </c>
      <c r="AG77" s="81">
        <f t="shared" si="5"/>
        <v>720</v>
      </c>
      <c r="AH77" s="142">
        <v>0</v>
      </c>
      <c r="AI77" s="201">
        <f t="shared" si="6"/>
      </c>
    </row>
    <row r="78" spans="19:35" ht="13.5">
      <c r="S78" s="95"/>
      <c r="T78" s="95">
        <v>725</v>
      </c>
      <c r="U78" s="98">
        <f t="shared" si="4"/>
        <v>0</v>
      </c>
      <c r="V78" s="81"/>
      <c r="W78" s="95">
        <v>725</v>
      </c>
      <c r="X78" s="98" t="e">
        <f>Conversions!$L$6*Conversions!$N91*Conversions!$V91*Conversions!$C$9</f>
        <v>#DIV/0!</v>
      </c>
      <c r="Y78" s="98" t="e">
        <f>Conversions!$L$6*Conversions!$N91</f>
        <v>#DIV/0!</v>
      </c>
      <c r="Z78" s="99" t="e">
        <f>Conversions!$L$6*Conversions!$N91*$W78*Conversions!$C$10</f>
        <v>#DIV/0!</v>
      </c>
      <c r="AA78" s="81"/>
      <c r="AB78" s="95">
        <v>725</v>
      </c>
      <c r="AC78" s="81" t="e">
        <f>Conversions!N91*Conversions!$L$6</f>
        <v>#DIV/0!</v>
      </c>
      <c r="AD78" s="81" t="e">
        <f>Conversions!N91*Conversions!$L$6*Conversions!Y91/MAX(Conversions!$Y$22:$Y$102)</f>
        <v>#DIV/0!</v>
      </c>
      <c r="AG78" s="81">
        <f t="shared" si="5"/>
        <v>725</v>
      </c>
      <c r="AH78" s="142">
        <v>0</v>
      </c>
      <c r="AI78" s="201">
        <f t="shared" si="6"/>
      </c>
    </row>
    <row r="79" spans="19:35" ht="13.5">
      <c r="S79" s="95"/>
      <c r="T79" s="95">
        <v>730</v>
      </c>
      <c r="U79" s="98">
        <f t="shared" si="4"/>
        <v>0</v>
      </c>
      <c r="V79" s="81"/>
      <c r="W79" s="95">
        <v>730</v>
      </c>
      <c r="X79" s="98" t="e">
        <f>Conversions!$L$6*Conversions!$N92*Conversions!$V92*Conversions!$C$9</f>
        <v>#DIV/0!</v>
      </c>
      <c r="Y79" s="98" t="e">
        <f>Conversions!$L$6*Conversions!$N92</f>
        <v>#DIV/0!</v>
      </c>
      <c r="Z79" s="99" t="e">
        <f>Conversions!$L$6*Conversions!$N92*$W79*Conversions!$C$10</f>
        <v>#DIV/0!</v>
      </c>
      <c r="AA79" s="81"/>
      <c r="AB79" s="95">
        <v>730</v>
      </c>
      <c r="AC79" s="81" t="e">
        <f>Conversions!N92*Conversions!$L$6</f>
        <v>#DIV/0!</v>
      </c>
      <c r="AD79" s="81" t="e">
        <f>Conversions!N92*Conversions!$L$6*Conversions!Y92/MAX(Conversions!$Y$22:$Y$102)</f>
        <v>#DIV/0!</v>
      </c>
      <c r="AG79" s="81">
        <f t="shared" si="5"/>
        <v>730</v>
      </c>
      <c r="AH79" s="142">
        <v>0</v>
      </c>
      <c r="AI79" s="201">
        <f t="shared" si="6"/>
      </c>
    </row>
    <row r="80" spans="19:35" ht="13.5">
      <c r="S80" s="95"/>
      <c r="T80" s="95">
        <v>735</v>
      </c>
      <c r="U80" s="98">
        <f t="shared" si="4"/>
        <v>0</v>
      </c>
      <c r="V80" s="81"/>
      <c r="W80" s="95">
        <v>735</v>
      </c>
      <c r="X80" s="98" t="e">
        <f>Conversions!$L$6*Conversions!$N93*Conversions!$V93*Conversions!$C$9</f>
        <v>#DIV/0!</v>
      </c>
      <c r="Y80" s="98" t="e">
        <f>Conversions!$L$6*Conversions!$N93</f>
        <v>#DIV/0!</v>
      </c>
      <c r="Z80" s="99" t="e">
        <f>Conversions!$L$6*Conversions!$N93*$W80*Conversions!$C$10</f>
        <v>#DIV/0!</v>
      </c>
      <c r="AA80" s="81"/>
      <c r="AB80" s="95">
        <v>735</v>
      </c>
      <c r="AC80" s="81" t="e">
        <f>Conversions!N93*Conversions!$L$6</f>
        <v>#DIV/0!</v>
      </c>
      <c r="AD80" s="81" t="e">
        <f>Conversions!N93*Conversions!$L$6*Conversions!Y93/MAX(Conversions!$Y$22:$Y$102)</f>
        <v>#DIV/0!</v>
      </c>
      <c r="AG80" s="81">
        <f t="shared" si="5"/>
        <v>735</v>
      </c>
      <c r="AH80" s="142">
        <v>0</v>
      </c>
      <c r="AI80" s="201">
        <f t="shared" si="6"/>
      </c>
    </row>
    <row r="81" spans="19:35" ht="13.5">
      <c r="S81" s="95"/>
      <c r="T81" s="95">
        <v>740</v>
      </c>
      <c r="U81" s="98">
        <f t="shared" si="4"/>
        <v>0</v>
      </c>
      <c r="V81" s="81"/>
      <c r="W81" s="95">
        <v>740</v>
      </c>
      <c r="X81" s="98" t="e">
        <f>Conversions!$L$6*Conversions!$N94*Conversions!$V94*Conversions!$C$9</f>
        <v>#DIV/0!</v>
      </c>
      <c r="Y81" s="98" t="e">
        <f>Conversions!$L$6*Conversions!$N94</f>
        <v>#DIV/0!</v>
      </c>
      <c r="Z81" s="99" t="e">
        <f>Conversions!$L$6*Conversions!$N94*$W81*Conversions!$C$10</f>
        <v>#DIV/0!</v>
      </c>
      <c r="AA81" s="81"/>
      <c r="AB81" s="95">
        <v>740</v>
      </c>
      <c r="AC81" s="81" t="e">
        <f>Conversions!N94*Conversions!$L$6</f>
        <v>#DIV/0!</v>
      </c>
      <c r="AD81" s="81" t="e">
        <f>Conversions!N94*Conversions!$L$6*Conversions!Y94/MAX(Conversions!$Y$22:$Y$102)</f>
        <v>#DIV/0!</v>
      </c>
      <c r="AG81" s="81">
        <f t="shared" si="5"/>
        <v>740</v>
      </c>
      <c r="AH81" s="142">
        <v>0</v>
      </c>
      <c r="AI81" s="201">
        <f t="shared" si="6"/>
      </c>
    </row>
    <row r="82" spans="19:35" ht="13.5">
      <c r="S82" s="95"/>
      <c r="T82" s="95">
        <v>745</v>
      </c>
      <c r="U82" s="98">
        <f t="shared" si="4"/>
        <v>0</v>
      </c>
      <c r="V82" s="81"/>
      <c r="W82" s="95">
        <v>745</v>
      </c>
      <c r="X82" s="98" t="e">
        <f>Conversions!$L$6*Conversions!$N95*Conversions!$V95*Conversions!$C$9</f>
        <v>#DIV/0!</v>
      </c>
      <c r="Y82" s="98" t="e">
        <f>Conversions!$L$6*Conversions!$N95</f>
        <v>#DIV/0!</v>
      </c>
      <c r="Z82" s="99" t="e">
        <f>Conversions!$L$6*Conversions!$N95*$W82*Conversions!$C$10</f>
        <v>#DIV/0!</v>
      </c>
      <c r="AA82" s="81"/>
      <c r="AB82" s="95">
        <v>745</v>
      </c>
      <c r="AC82" s="81" t="e">
        <f>Conversions!N95*Conversions!$L$6</f>
        <v>#DIV/0!</v>
      </c>
      <c r="AD82" s="81" t="e">
        <f>Conversions!N95*Conversions!$L$6*Conversions!Y95/MAX(Conversions!$Y$22:$Y$102)</f>
        <v>#DIV/0!</v>
      </c>
      <c r="AG82" s="81">
        <f t="shared" si="5"/>
        <v>745</v>
      </c>
      <c r="AH82" s="142">
        <v>0</v>
      </c>
      <c r="AI82" s="201">
        <f t="shared" si="6"/>
      </c>
    </row>
    <row r="83" spans="19:35" ht="13.5">
      <c r="S83" s="95"/>
      <c r="T83" s="95">
        <v>750</v>
      </c>
      <c r="U83" s="98">
        <f t="shared" si="4"/>
        <v>0</v>
      </c>
      <c r="V83" s="81"/>
      <c r="W83" s="95">
        <v>750</v>
      </c>
      <c r="X83" s="98" t="e">
        <f>Conversions!$L$6*Conversions!$N96*Conversions!$V96*Conversions!$C$9</f>
        <v>#DIV/0!</v>
      </c>
      <c r="Y83" s="98" t="e">
        <f>Conversions!$L$6*Conversions!$N96</f>
        <v>#DIV/0!</v>
      </c>
      <c r="Z83" s="99" t="e">
        <f>Conversions!$L$6*Conversions!$N96*$W83*Conversions!$C$10</f>
        <v>#DIV/0!</v>
      </c>
      <c r="AA83" s="81"/>
      <c r="AB83" s="95">
        <v>750</v>
      </c>
      <c r="AC83" s="81" t="e">
        <f>Conversions!N96*Conversions!$L$6</f>
        <v>#DIV/0!</v>
      </c>
      <c r="AD83" s="81" t="e">
        <f>Conversions!N96*Conversions!$L$6*Conversions!Y96/MAX(Conversions!$Y$22:$Y$102)</f>
        <v>#DIV/0!</v>
      </c>
      <c r="AG83" s="81">
        <f t="shared" si="5"/>
        <v>750</v>
      </c>
      <c r="AH83" s="142">
        <v>0</v>
      </c>
      <c r="AI83" s="201">
        <f t="shared" si="6"/>
      </c>
    </row>
    <row r="84" spans="19:35" ht="13.5">
      <c r="S84" s="95"/>
      <c r="T84" s="95">
        <v>755</v>
      </c>
      <c r="U84" s="98">
        <f t="shared" si="4"/>
        <v>0</v>
      </c>
      <c r="V84" s="81"/>
      <c r="W84" s="95">
        <v>755</v>
      </c>
      <c r="X84" s="98" t="e">
        <f>Conversions!$L$6*Conversions!$N97*Conversions!$V97*Conversions!$C$9</f>
        <v>#DIV/0!</v>
      </c>
      <c r="Y84" s="98" t="e">
        <f>Conversions!$L$6*Conversions!$N97</f>
        <v>#DIV/0!</v>
      </c>
      <c r="Z84" s="99" t="e">
        <f>Conversions!$L$6*Conversions!$N97*$W84*Conversions!$C$10</f>
        <v>#DIV/0!</v>
      </c>
      <c r="AA84" s="81"/>
      <c r="AB84" s="95">
        <v>755</v>
      </c>
      <c r="AC84" s="81" t="e">
        <f>Conversions!N97*Conversions!$L$6</f>
        <v>#DIV/0!</v>
      </c>
      <c r="AD84" s="81" t="e">
        <f>Conversions!N97*Conversions!$L$6*Conversions!Y97/MAX(Conversions!$Y$22:$Y$102)</f>
        <v>#DIV/0!</v>
      </c>
      <c r="AG84" s="81">
        <f t="shared" si="5"/>
        <v>755</v>
      </c>
      <c r="AH84" s="142">
        <v>0</v>
      </c>
      <c r="AI84" s="201">
        <f t="shared" si="6"/>
      </c>
    </row>
    <row r="85" spans="19:35" ht="13.5">
      <c r="S85" s="95"/>
      <c r="T85" s="95">
        <v>760</v>
      </c>
      <c r="U85" s="98">
        <f t="shared" si="4"/>
        <v>0</v>
      </c>
      <c r="V85" s="81"/>
      <c r="W85" s="95">
        <v>760</v>
      </c>
      <c r="X85" s="98" t="e">
        <f>Conversions!$L$6*Conversions!$N98*Conversions!$V98*Conversions!$C$9</f>
        <v>#DIV/0!</v>
      </c>
      <c r="Y85" s="98" t="e">
        <f>Conversions!$L$6*Conversions!$N98</f>
        <v>#DIV/0!</v>
      </c>
      <c r="Z85" s="99" t="e">
        <f>Conversions!$L$6*Conversions!$N98*$W85*Conversions!$C$10</f>
        <v>#DIV/0!</v>
      </c>
      <c r="AA85" s="81"/>
      <c r="AB85" s="95">
        <v>760</v>
      </c>
      <c r="AC85" s="81" t="e">
        <f>Conversions!N98*Conversions!$L$6</f>
        <v>#DIV/0!</v>
      </c>
      <c r="AD85" s="81" t="e">
        <f>Conversions!N98*Conversions!$L$6*Conversions!Y98/MAX(Conversions!$Y$22:$Y$102)</f>
        <v>#DIV/0!</v>
      </c>
      <c r="AG85" s="81">
        <f t="shared" si="5"/>
        <v>760</v>
      </c>
      <c r="AH85" s="142">
        <v>0</v>
      </c>
      <c r="AI85" s="201">
        <f t="shared" si="6"/>
      </c>
    </row>
    <row r="86" spans="19:35" ht="13.5">
      <c r="S86" s="95"/>
      <c r="T86" s="95">
        <v>765</v>
      </c>
      <c r="U86" s="98">
        <f t="shared" si="4"/>
        <v>0</v>
      </c>
      <c r="V86" s="81"/>
      <c r="W86" s="95">
        <v>765</v>
      </c>
      <c r="X86" s="98" t="e">
        <f>Conversions!$L$6*Conversions!$N99*Conversions!$V99*Conversions!$C$9</f>
        <v>#DIV/0!</v>
      </c>
      <c r="Y86" s="98" t="e">
        <f>Conversions!$L$6*Conversions!$N99</f>
        <v>#DIV/0!</v>
      </c>
      <c r="Z86" s="99" t="e">
        <f>Conversions!$L$6*Conversions!$N99*$W86*Conversions!$C$10</f>
        <v>#DIV/0!</v>
      </c>
      <c r="AA86" s="81"/>
      <c r="AB86" s="95">
        <v>765</v>
      </c>
      <c r="AC86" s="81" t="e">
        <f>Conversions!N99*Conversions!$L$6</f>
        <v>#DIV/0!</v>
      </c>
      <c r="AD86" s="81" t="e">
        <f>Conversions!N99*Conversions!$L$6*Conversions!Y99/MAX(Conversions!$Y$22:$Y$102)</f>
        <v>#DIV/0!</v>
      </c>
      <c r="AG86" s="81">
        <f t="shared" si="5"/>
        <v>765</v>
      </c>
      <c r="AH86" s="142">
        <v>0</v>
      </c>
      <c r="AI86" s="201">
        <f t="shared" si="6"/>
      </c>
    </row>
    <row r="87" spans="19:35" ht="13.5">
      <c r="S87" s="95"/>
      <c r="T87" s="95">
        <v>770</v>
      </c>
      <c r="U87" s="98">
        <f t="shared" si="4"/>
        <v>0</v>
      </c>
      <c r="V87" s="81"/>
      <c r="W87" s="95">
        <v>770</v>
      </c>
      <c r="X87" s="98" t="e">
        <f>Conversions!$L$6*Conversions!$N100*Conversions!$V100*Conversions!$C$9</f>
        <v>#DIV/0!</v>
      </c>
      <c r="Y87" s="98" t="e">
        <f>Conversions!$L$6*Conversions!$N100</f>
        <v>#DIV/0!</v>
      </c>
      <c r="Z87" s="99" t="e">
        <f>Conversions!$L$6*Conversions!$N100*$W87*Conversions!$C$10</f>
        <v>#DIV/0!</v>
      </c>
      <c r="AA87" s="81"/>
      <c r="AB87" s="95">
        <v>770</v>
      </c>
      <c r="AC87" s="81" t="e">
        <f>Conversions!N100*Conversions!$L$6</f>
        <v>#DIV/0!</v>
      </c>
      <c r="AD87" s="81" t="e">
        <f>Conversions!N100*Conversions!$L$6*Conversions!Y100/MAX(Conversions!$Y$22:$Y$102)</f>
        <v>#DIV/0!</v>
      </c>
      <c r="AG87" s="81">
        <f t="shared" si="5"/>
        <v>770</v>
      </c>
      <c r="AH87" s="142">
        <v>0</v>
      </c>
      <c r="AI87" s="201">
        <f t="shared" si="6"/>
      </c>
    </row>
    <row r="88" spans="19:35" ht="13.5">
      <c r="S88" s="95"/>
      <c r="T88" s="95">
        <v>775</v>
      </c>
      <c r="U88" s="98">
        <f t="shared" si="4"/>
        <v>0</v>
      </c>
      <c r="V88" s="81"/>
      <c r="W88" s="95">
        <v>775</v>
      </c>
      <c r="X88" s="98" t="e">
        <f>Conversions!$L$6*Conversions!$N101*Conversions!$V101*Conversions!$C$9</f>
        <v>#DIV/0!</v>
      </c>
      <c r="Y88" s="98" t="e">
        <f>Conversions!$L$6*Conversions!$N101</f>
        <v>#DIV/0!</v>
      </c>
      <c r="Z88" s="99" t="e">
        <f>Conversions!$L$6*Conversions!$N101*$W88*Conversions!$C$10</f>
        <v>#DIV/0!</v>
      </c>
      <c r="AA88" s="81"/>
      <c r="AB88" s="95">
        <v>775</v>
      </c>
      <c r="AC88" s="81" t="e">
        <f>Conversions!N101*Conversions!$L$6</f>
        <v>#DIV/0!</v>
      </c>
      <c r="AD88" s="81" t="e">
        <f>Conversions!N101*Conversions!$L$6*Conversions!Y101/MAX(Conversions!$Y$22:$Y$102)</f>
        <v>#DIV/0!</v>
      </c>
      <c r="AG88" s="81">
        <f t="shared" si="5"/>
        <v>775</v>
      </c>
      <c r="AH88" s="142">
        <v>0</v>
      </c>
      <c r="AI88" s="201">
        <f t="shared" si="6"/>
      </c>
    </row>
    <row r="89" spans="19:35" ht="13.5">
      <c r="S89" s="95"/>
      <c r="T89" s="95">
        <v>780</v>
      </c>
      <c r="U89" s="98">
        <f t="shared" si="4"/>
        <v>0</v>
      </c>
      <c r="V89" s="81"/>
      <c r="W89" s="95">
        <v>780</v>
      </c>
      <c r="X89" s="98" t="e">
        <f>Conversions!$L$6*Conversions!$N102*Conversions!$V102*Conversions!$C$9</f>
        <v>#DIV/0!</v>
      </c>
      <c r="Y89" s="98" t="e">
        <f>Conversions!$L$6*Conversions!$N102</f>
        <v>#DIV/0!</v>
      </c>
      <c r="Z89" s="99" t="e">
        <f>Conversions!$L$6*Conversions!$N102*$W89*Conversions!$C$10</f>
        <v>#DIV/0!</v>
      </c>
      <c r="AA89" s="81"/>
      <c r="AB89" s="95">
        <v>780</v>
      </c>
      <c r="AC89" s="81" t="e">
        <f>Conversions!N102*Conversions!$L$6</f>
        <v>#DIV/0!</v>
      </c>
      <c r="AD89" s="81" t="e">
        <f>Conversions!N102*Conversions!$L$6*Conversions!Y102/MAX(Conversions!$Y$22:$Y$102)</f>
        <v>#DIV/0!</v>
      </c>
      <c r="AG89" s="81">
        <f t="shared" si="5"/>
        <v>780</v>
      </c>
      <c r="AH89" s="200">
        <v>0</v>
      </c>
      <c r="AI89" s="201">
        <f t="shared" si="6"/>
      </c>
    </row>
    <row r="90" spans="33:35" ht="13.5">
      <c r="AG90" s="81">
        <f t="shared" si="5"/>
      </c>
      <c r="AH90" s="142">
        <v>0</v>
      </c>
      <c r="AI90" s="201">
        <f t="shared" si="6"/>
      </c>
    </row>
    <row r="91" spans="33:35" ht="13.5">
      <c r="AG91" s="81">
        <f t="shared" si="5"/>
      </c>
      <c r="AH91" s="142">
        <v>0.0024752475247524753</v>
      </c>
      <c r="AI91" s="201">
        <f t="shared" si="6"/>
      </c>
    </row>
    <row r="92" spans="33:35" ht="13.5">
      <c r="AG92" s="81">
        <f t="shared" si="5"/>
      </c>
      <c r="AH92" s="142">
        <v>0.0024752475247524753</v>
      </c>
      <c r="AI92" s="201">
        <f t="shared" si="6"/>
      </c>
    </row>
    <row r="93" spans="33:35" ht="13.5">
      <c r="AG93" s="81">
        <f t="shared" si="5"/>
      </c>
      <c r="AH93" s="142">
        <v>0.0024752475247524753</v>
      </c>
      <c r="AI93" s="201">
        <f t="shared" si="6"/>
      </c>
    </row>
    <row r="94" spans="33:35" ht="13.5">
      <c r="AG94" s="81">
        <f t="shared" si="5"/>
      </c>
      <c r="AH94" s="142">
        <v>0.0024752475247524753</v>
      </c>
      <c r="AI94" s="201">
        <f t="shared" si="6"/>
      </c>
    </row>
    <row r="95" spans="33:35" ht="13.5">
      <c r="AG95" s="81">
        <f t="shared" si="5"/>
      </c>
      <c r="AH95" s="142">
        <v>0.0024752475247524753</v>
      </c>
      <c r="AI95" s="201">
        <f t="shared" si="6"/>
      </c>
    </row>
    <row r="96" spans="33:35" ht="13.5">
      <c r="AG96" s="81">
        <f t="shared" si="5"/>
      </c>
      <c r="AH96" s="142">
        <v>0.0024752475247524753</v>
      </c>
      <c r="AI96" s="201">
        <f t="shared" si="6"/>
      </c>
    </row>
    <row r="97" spans="33:35" ht="13.5">
      <c r="AG97" s="81">
        <f t="shared" si="5"/>
      </c>
      <c r="AH97" s="142">
        <v>0.0024752475247524753</v>
      </c>
      <c r="AI97" s="201">
        <f t="shared" si="6"/>
      </c>
    </row>
    <row r="98" spans="33:35" ht="13.5">
      <c r="AG98" s="81">
        <f t="shared" si="5"/>
      </c>
      <c r="AH98" s="142">
        <v>0.0024752475247524753</v>
      </c>
      <c r="AI98" s="201">
        <f t="shared" si="6"/>
      </c>
    </row>
    <row r="99" spans="33:35" ht="13.5">
      <c r="AG99" s="81">
        <f t="shared" si="5"/>
      </c>
      <c r="AH99" s="142">
        <v>0.0024752475247524753</v>
      </c>
      <c r="AI99" s="201">
        <f t="shared" si="6"/>
      </c>
    </row>
    <row r="100" spans="33:35" ht="13.5">
      <c r="AG100" s="81">
        <f t="shared" si="5"/>
      </c>
      <c r="AH100" s="142">
        <v>0.0024752475247524753</v>
      </c>
      <c r="AI100" s="201">
        <f t="shared" si="6"/>
      </c>
    </row>
    <row r="101" spans="33:35" ht="13.5">
      <c r="AG101" s="81">
        <f t="shared" si="5"/>
      </c>
      <c r="AH101" s="142">
        <v>0.0024752475247524753</v>
      </c>
      <c r="AI101" s="201">
        <f t="shared" si="6"/>
      </c>
    </row>
    <row r="102" spans="33:35" ht="13.5">
      <c r="AG102" s="81">
        <f t="shared" si="5"/>
      </c>
      <c r="AH102" s="142">
        <v>0.0024752475247524753</v>
      </c>
      <c r="AI102" s="201">
        <f t="shared" si="6"/>
      </c>
    </row>
    <row r="103" spans="33:35" ht="13.5">
      <c r="AG103" s="81">
        <f t="shared" si="5"/>
      </c>
      <c r="AH103" s="142">
        <v>0.0024752475247524753</v>
      </c>
      <c r="AI103" s="201">
        <f t="shared" si="6"/>
      </c>
    </row>
    <row r="104" spans="33:35" ht="13.5">
      <c r="AG104" s="81">
        <f t="shared" si="5"/>
      </c>
      <c r="AH104" s="142">
        <v>0.0024752475247524753</v>
      </c>
      <c r="AI104" s="201">
        <f t="shared" si="6"/>
      </c>
    </row>
    <row r="105" spans="33:35" ht="13.5">
      <c r="AG105" s="81">
        <f t="shared" si="5"/>
      </c>
      <c r="AH105" s="142">
        <v>0.0024752475247524753</v>
      </c>
      <c r="AI105" s="201">
        <f t="shared" si="6"/>
      </c>
    </row>
    <row r="106" spans="33:35" ht="13.5">
      <c r="AG106" s="81">
        <f t="shared" si="5"/>
      </c>
      <c r="AH106" s="142">
        <v>0.0024752475247524753</v>
      </c>
      <c r="AI106" s="201">
        <f t="shared" si="6"/>
      </c>
    </row>
    <row r="107" spans="33:35" ht="13.5">
      <c r="AG107" s="81">
        <f t="shared" si="5"/>
      </c>
      <c r="AH107" s="142">
        <v>0.0024752475247524753</v>
      </c>
      <c r="AI107" s="201">
        <f t="shared" si="6"/>
      </c>
    </row>
    <row r="108" spans="33:35" ht="13.5">
      <c r="AG108" s="81">
        <f t="shared" si="5"/>
      </c>
      <c r="AH108" s="142">
        <v>0.0024752475247524753</v>
      </c>
      <c r="AI108" s="201">
        <f t="shared" si="6"/>
      </c>
    </row>
    <row r="109" spans="33:35" ht="13.5">
      <c r="AG109" s="81">
        <f t="shared" si="5"/>
      </c>
      <c r="AH109" s="142">
        <v>0.0024752475247524753</v>
      </c>
      <c r="AI109" s="201">
        <f t="shared" si="6"/>
      </c>
    </row>
    <row r="110" spans="33:35" ht="13.5">
      <c r="AG110" s="81">
        <f t="shared" si="5"/>
      </c>
      <c r="AH110" s="142">
        <v>0.0024752475247524753</v>
      </c>
      <c r="AI110" s="201">
        <f t="shared" si="6"/>
      </c>
    </row>
    <row r="111" spans="33:35" ht="13.5">
      <c r="AG111" s="81">
        <f t="shared" si="5"/>
      </c>
      <c r="AH111" s="142">
        <v>0.0024752475247524753</v>
      </c>
      <c r="AI111" s="201">
        <f t="shared" si="6"/>
      </c>
    </row>
    <row r="112" spans="33:35" ht="13.5">
      <c r="AG112" s="81">
        <f t="shared" si="5"/>
      </c>
      <c r="AH112" s="142">
        <v>0.0024752475247524753</v>
      </c>
      <c r="AI112" s="201">
        <f t="shared" si="6"/>
      </c>
    </row>
    <row r="113" spans="33:35" ht="13.5">
      <c r="AG113" s="81">
        <f t="shared" si="5"/>
      </c>
      <c r="AH113" s="142">
        <v>0.0024752475247524753</v>
      </c>
      <c r="AI113" s="201">
        <f t="shared" si="6"/>
      </c>
    </row>
    <row r="114" spans="33:35" ht="13.5">
      <c r="AG114" s="81">
        <f t="shared" si="5"/>
      </c>
      <c r="AH114" s="142">
        <v>0.0024752475247524753</v>
      </c>
      <c r="AI114" s="201">
        <f t="shared" si="6"/>
      </c>
    </row>
    <row r="115" spans="33:35" ht="13.5">
      <c r="AG115" s="81">
        <f t="shared" si="5"/>
      </c>
      <c r="AH115" s="142">
        <v>0.0024752475247524753</v>
      </c>
      <c r="AI115" s="201">
        <f t="shared" si="6"/>
      </c>
    </row>
    <row r="116" spans="33:35" ht="13.5">
      <c r="AG116" s="81">
        <f t="shared" si="5"/>
      </c>
      <c r="AH116" s="142">
        <v>0.0024752475247524753</v>
      </c>
      <c r="AI116" s="201">
        <f t="shared" si="6"/>
      </c>
    </row>
    <row r="117" spans="33:35" ht="13.5">
      <c r="AG117" s="81">
        <f t="shared" si="5"/>
      </c>
      <c r="AH117" s="142">
        <v>0.0024752475247524753</v>
      </c>
      <c r="AI117" s="201">
        <f t="shared" si="6"/>
      </c>
    </row>
    <row r="118" spans="33:35" ht="13.5">
      <c r="AG118" s="81">
        <f t="shared" si="5"/>
      </c>
      <c r="AH118" s="142">
        <v>0.0024752475247524753</v>
      </c>
      <c r="AI118" s="201">
        <f t="shared" si="6"/>
      </c>
    </row>
    <row r="119" spans="33:35" ht="13.5">
      <c r="AG119" s="81">
        <f t="shared" si="5"/>
      </c>
      <c r="AH119" s="142">
        <v>0.0024752475247524753</v>
      </c>
      <c r="AI119" s="201">
        <f t="shared" si="6"/>
      </c>
    </row>
    <row r="120" spans="33:35" ht="13.5">
      <c r="AG120" s="81">
        <f t="shared" si="5"/>
      </c>
      <c r="AH120" s="142">
        <v>0.0024752475247524753</v>
      </c>
      <c r="AI120" s="201">
        <f t="shared" si="6"/>
      </c>
    </row>
    <row r="121" spans="33:35" ht="13.5">
      <c r="AG121" s="81">
        <f t="shared" si="5"/>
      </c>
      <c r="AH121" s="142">
        <v>0.0024752475247524753</v>
      </c>
      <c r="AI121" s="201">
        <f t="shared" si="6"/>
      </c>
    </row>
    <row r="122" spans="33:35" ht="13.5">
      <c r="AG122" s="81">
        <f t="shared" si="5"/>
      </c>
      <c r="AH122" s="142">
        <v>0.0024752475247524753</v>
      </c>
      <c r="AI122" s="201">
        <f t="shared" si="6"/>
      </c>
    </row>
    <row r="123" spans="33:35" ht="13.5">
      <c r="AG123" s="81">
        <f t="shared" si="5"/>
      </c>
      <c r="AH123" s="142">
        <v>0.0024752475247524753</v>
      </c>
      <c r="AI123" s="201">
        <f t="shared" si="6"/>
      </c>
    </row>
    <row r="124" spans="33:35" ht="13.5">
      <c r="AG124" s="81">
        <f t="shared" si="5"/>
      </c>
      <c r="AH124" s="142">
        <v>0.0024752475247524753</v>
      </c>
      <c r="AI124" s="201">
        <f t="shared" si="6"/>
      </c>
    </row>
    <row r="125" spans="33:35" ht="13.5">
      <c r="AG125" s="81">
        <f t="shared" si="5"/>
      </c>
      <c r="AH125" s="142">
        <v>0.0024752475247524753</v>
      </c>
      <c r="AI125" s="201">
        <f t="shared" si="6"/>
      </c>
    </row>
    <row r="126" spans="33:35" ht="13.5">
      <c r="AG126" s="81">
        <f t="shared" si="5"/>
      </c>
      <c r="AH126" s="142">
        <v>0.0024752475247524753</v>
      </c>
      <c r="AI126" s="201">
        <f t="shared" si="6"/>
      </c>
    </row>
    <row r="127" spans="33:35" ht="13.5">
      <c r="AG127" s="81">
        <f t="shared" si="5"/>
      </c>
      <c r="AH127" s="142">
        <v>0.0024752475247524753</v>
      </c>
      <c r="AI127" s="201">
        <f t="shared" si="6"/>
      </c>
    </row>
    <row r="128" spans="33:35" ht="13.5">
      <c r="AG128" s="81">
        <f t="shared" si="5"/>
      </c>
      <c r="AH128" s="142">
        <v>0.0024752475247524753</v>
      </c>
      <c r="AI128" s="201">
        <f t="shared" si="6"/>
      </c>
    </row>
    <row r="129" spans="33:35" ht="13.5">
      <c r="AG129" s="81">
        <f t="shared" si="5"/>
      </c>
      <c r="AH129" s="142">
        <v>0.0024752475247524753</v>
      </c>
      <c r="AI129" s="201">
        <f t="shared" si="6"/>
      </c>
    </row>
    <row r="130" spans="33:35" ht="13.5">
      <c r="AG130" s="81">
        <f t="shared" si="5"/>
      </c>
      <c r="AH130" s="142">
        <v>0.0024752475247524753</v>
      </c>
      <c r="AI130" s="201">
        <f t="shared" si="6"/>
      </c>
    </row>
    <row r="131" spans="33:35" ht="13.5">
      <c r="AG131" s="81">
        <f t="shared" si="5"/>
      </c>
      <c r="AH131" s="142">
        <v>0.0024752475247524753</v>
      </c>
      <c r="AI131" s="201">
        <f t="shared" si="6"/>
      </c>
    </row>
    <row r="132" spans="33:35" ht="13.5">
      <c r="AG132" s="81">
        <f t="shared" si="5"/>
      </c>
      <c r="AH132" s="142">
        <v>0.0024752475247524753</v>
      </c>
      <c r="AI132" s="201">
        <f t="shared" si="6"/>
      </c>
    </row>
    <row r="133" spans="33:35" ht="13.5">
      <c r="AG133" s="81">
        <f t="shared" si="5"/>
      </c>
      <c r="AH133" s="142">
        <v>0.0024752475247524753</v>
      </c>
      <c r="AI133" s="201">
        <f t="shared" si="6"/>
      </c>
    </row>
    <row r="134" spans="33:35" ht="13.5">
      <c r="AG134" s="81">
        <f t="shared" si="5"/>
      </c>
      <c r="AH134" s="142">
        <v>0.0024752475247524753</v>
      </c>
      <c r="AI134" s="201">
        <f t="shared" si="6"/>
      </c>
    </row>
    <row r="135" spans="33:35" ht="13.5">
      <c r="AG135" s="81">
        <f t="shared" si="5"/>
      </c>
      <c r="AH135" s="142">
        <v>0.0024752475247524753</v>
      </c>
      <c r="AI135" s="201">
        <f t="shared" si="6"/>
      </c>
    </row>
    <row r="136" spans="33:35" ht="13.5">
      <c r="AG136" s="81">
        <f t="shared" si="5"/>
      </c>
      <c r="AH136" s="142">
        <v>0.0024752475247524753</v>
      </c>
      <c r="AI136" s="201">
        <f t="shared" si="6"/>
      </c>
    </row>
    <row r="137" spans="33:35" ht="13.5">
      <c r="AG137" s="81">
        <f aca="true" t="shared" si="7" ref="AG137:AG200">IF(ROW()&gt;IF($D$6="1nm spectral data",413,89),"",IF($D$6="1nm spectral data",378,380)+IF($D$6="1nm spectral data",1,5)*(ROW()-9))</f>
      </c>
      <c r="AH137" s="142">
        <v>0.0024752475247524753</v>
      </c>
      <c r="AI137" s="201">
        <f t="shared" si="6"/>
      </c>
    </row>
    <row r="138" spans="33:35" ht="13.5">
      <c r="AG138" s="81">
        <f t="shared" si="7"/>
      </c>
      <c r="AH138" s="142">
        <v>0.0024752475247524753</v>
      </c>
      <c r="AI138" s="201">
        <f t="shared" si="6"/>
      </c>
    </row>
    <row r="139" spans="33:35" ht="13.5">
      <c r="AG139" s="81">
        <f t="shared" si="7"/>
      </c>
      <c r="AH139" s="142">
        <v>0.0024752475247524753</v>
      </c>
      <c r="AI139" s="201">
        <f t="shared" si="6"/>
      </c>
    </row>
    <row r="140" spans="33:35" ht="13.5">
      <c r="AG140" s="81">
        <f t="shared" si="7"/>
      </c>
      <c r="AH140" s="142">
        <v>0.0024752475247524753</v>
      </c>
      <c r="AI140" s="201">
        <f aca="true" t="shared" si="8" ref="AI140:AI203">IF(AND($D$6="1nm spectral data",$AG140&lt;&gt;""),IF($AG140/5=INT($AG140/5),SUM($AH138:$AH142),""),"")</f>
      </c>
    </row>
    <row r="141" spans="33:35" ht="13.5">
      <c r="AG141" s="81">
        <f t="shared" si="7"/>
      </c>
      <c r="AH141" s="142">
        <v>0.0024752475247524753</v>
      </c>
      <c r="AI141" s="201">
        <f t="shared" si="8"/>
      </c>
    </row>
    <row r="142" spans="33:35" ht="13.5">
      <c r="AG142" s="81">
        <f t="shared" si="7"/>
      </c>
      <c r="AH142" s="142">
        <v>0.0024752475247524753</v>
      </c>
      <c r="AI142" s="201">
        <f t="shared" si="8"/>
      </c>
    </row>
    <row r="143" spans="33:35" ht="13.5">
      <c r="AG143" s="81">
        <f t="shared" si="7"/>
      </c>
      <c r="AH143" s="142">
        <v>0.0024752475247524753</v>
      </c>
      <c r="AI143" s="201">
        <f t="shared" si="8"/>
      </c>
    </row>
    <row r="144" spans="33:35" ht="13.5">
      <c r="AG144" s="81">
        <f t="shared" si="7"/>
      </c>
      <c r="AH144" s="142">
        <v>0.0024752475247524753</v>
      </c>
      <c r="AI144" s="201">
        <f t="shared" si="8"/>
      </c>
    </row>
    <row r="145" spans="33:35" ht="13.5">
      <c r="AG145" s="81">
        <f t="shared" si="7"/>
      </c>
      <c r="AH145" s="142">
        <v>0.0024752475247524753</v>
      </c>
      <c r="AI145" s="201">
        <f t="shared" si="8"/>
      </c>
    </row>
    <row r="146" spans="33:35" ht="13.5">
      <c r="AG146" s="81">
        <f t="shared" si="7"/>
      </c>
      <c r="AH146" s="142">
        <v>0.0024752475247524753</v>
      </c>
      <c r="AI146" s="201">
        <f t="shared" si="8"/>
      </c>
    </row>
    <row r="147" spans="33:35" ht="13.5">
      <c r="AG147" s="81">
        <f t="shared" si="7"/>
      </c>
      <c r="AH147" s="142">
        <v>0.0024752475247524753</v>
      </c>
      <c r="AI147" s="201">
        <f t="shared" si="8"/>
      </c>
    </row>
    <row r="148" spans="33:35" ht="13.5">
      <c r="AG148" s="81">
        <f t="shared" si="7"/>
      </c>
      <c r="AH148" s="142">
        <v>0.0024752475247524753</v>
      </c>
      <c r="AI148" s="201">
        <f t="shared" si="8"/>
      </c>
    </row>
    <row r="149" spans="33:35" ht="13.5">
      <c r="AG149" s="81">
        <f t="shared" si="7"/>
      </c>
      <c r="AH149" s="142">
        <v>0.0024752475247524753</v>
      </c>
      <c r="AI149" s="201">
        <f t="shared" si="8"/>
      </c>
    </row>
    <row r="150" spans="33:35" ht="13.5">
      <c r="AG150" s="81">
        <f t="shared" si="7"/>
      </c>
      <c r="AH150" s="142">
        <v>0.0024752475247524753</v>
      </c>
      <c r="AI150" s="201">
        <f t="shared" si="8"/>
      </c>
    </row>
    <row r="151" spans="33:35" ht="13.5">
      <c r="AG151" s="81">
        <f t="shared" si="7"/>
      </c>
      <c r="AH151" s="142">
        <v>0.0024752475247524753</v>
      </c>
      <c r="AI151" s="201">
        <f t="shared" si="8"/>
      </c>
    </row>
    <row r="152" spans="33:35" ht="13.5">
      <c r="AG152" s="81">
        <f t="shared" si="7"/>
      </c>
      <c r="AH152" s="142">
        <v>0.0024752475247524753</v>
      </c>
      <c r="AI152" s="201">
        <f t="shared" si="8"/>
      </c>
    </row>
    <row r="153" spans="33:35" ht="13.5">
      <c r="AG153" s="81">
        <f t="shared" si="7"/>
      </c>
      <c r="AH153" s="142">
        <v>0.0024752475247524753</v>
      </c>
      <c r="AI153" s="201">
        <f t="shared" si="8"/>
      </c>
    </row>
    <row r="154" spans="33:35" ht="13.5">
      <c r="AG154" s="81">
        <f t="shared" si="7"/>
      </c>
      <c r="AH154" s="142">
        <v>0.0024752475247524753</v>
      </c>
      <c r="AI154" s="201">
        <f t="shared" si="8"/>
      </c>
    </row>
    <row r="155" spans="33:35" ht="13.5">
      <c r="AG155" s="81">
        <f t="shared" si="7"/>
      </c>
      <c r="AH155" s="142">
        <v>0.0024752475247524753</v>
      </c>
      <c r="AI155" s="201">
        <f t="shared" si="8"/>
      </c>
    </row>
    <row r="156" spans="33:35" ht="13.5">
      <c r="AG156" s="81">
        <f t="shared" si="7"/>
      </c>
      <c r="AH156" s="142">
        <v>0.0024752475247524753</v>
      </c>
      <c r="AI156" s="201">
        <f t="shared" si="8"/>
      </c>
    </row>
    <row r="157" spans="33:35" ht="13.5">
      <c r="AG157" s="81">
        <f t="shared" si="7"/>
      </c>
      <c r="AH157" s="142">
        <v>0.0024752475247524753</v>
      </c>
      <c r="AI157" s="201">
        <f t="shared" si="8"/>
      </c>
    </row>
    <row r="158" spans="33:35" ht="13.5">
      <c r="AG158" s="81">
        <f t="shared" si="7"/>
      </c>
      <c r="AH158" s="142">
        <v>0.0024752475247524753</v>
      </c>
      <c r="AI158" s="201">
        <f t="shared" si="8"/>
      </c>
    </row>
    <row r="159" spans="33:35" ht="13.5">
      <c r="AG159" s="81">
        <f t="shared" si="7"/>
      </c>
      <c r="AH159" s="142">
        <v>0.0024752475247524753</v>
      </c>
      <c r="AI159" s="201">
        <f t="shared" si="8"/>
      </c>
    </row>
    <row r="160" spans="33:35" ht="13.5">
      <c r="AG160" s="81">
        <f t="shared" si="7"/>
      </c>
      <c r="AH160" s="142">
        <v>0.0024752475247524753</v>
      </c>
      <c r="AI160" s="201">
        <f t="shared" si="8"/>
      </c>
    </row>
    <row r="161" spans="33:35" ht="13.5">
      <c r="AG161" s="81">
        <f t="shared" si="7"/>
      </c>
      <c r="AH161" s="142">
        <v>0.0024752475247524753</v>
      </c>
      <c r="AI161" s="201">
        <f t="shared" si="8"/>
      </c>
    </row>
    <row r="162" spans="33:35" ht="13.5">
      <c r="AG162" s="81">
        <f t="shared" si="7"/>
      </c>
      <c r="AH162" s="142">
        <v>0.0024752475247524753</v>
      </c>
      <c r="AI162" s="201">
        <f t="shared" si="8"/>
      </c>
    </row>
    <row r="163" spans="33:35" ht="13.5">
      <c r="AG163" s="81">
        <f t="shared" si="7"/>
      </c>
      <c r="AH163" s="142">
        <v>0.0024752475247524753</v>
      </c>
      <c r="AI163" s="201">
        <f t="shared" si="8"/>
      </c>
    </row>
    <row r="164" spans="33:35" ht="13.5">
      <c r="AG164" s="81">
        <f t="shared" si="7"/>
      </c>
      <c r="AH164" s="142">
        <v>0.0024752475247524753</v>
      </c>
      <c r="AI164" s="201">
        <f t="shared" si="8"/>
      </c>
    </row>
    <row r="165" spans="33:35" ht="13.5">
      <c r="AG165" s="81">
        <f t="shared" si="7"/>
      </c>
      <c r="AH165" s="142">
        <v>0.0024752475247524753</v>
      </c>
      <c r="AI165" s="201">
        <f t="shared" si="8"/>
      </c>
    </row>
    <row r="166" spans="33:35" ht="13.5">
      <c r="AG166" s="81">
        <f t="shared" si="7"/>
      </c>
      <c r="AH166" s="142">
        <v>0.0024752475247524753</v>
      </c>
      <c r="AI166" s="201">
        <f t="shared" si="8"/>
      </c>
    </row>
    <row r="167" spans="33:35" ht="13.5">
      <c r="AG167" s="81">
        <f t="shared" si="7"/>
      </c>
      <c r="AH167" s="142">
        <v>0.0024752475247524753</v>
      </c>
      <c r="AI167" s="201">
        <f t="shared" si="8"/>
      </c>
    </row>
    <row r="168" spans="33:35" ht="13.5">
      <c r="AG168" s="81">
        <f t="shared" si="7"/>
      </c>
      <c r="AH168" s="142">
        <v>0.0024752475247524753</v>
      </c>
      <c r="AI168" s="201">
        <f t="shared" si="8"/>
      </c>
    </row>
    <row r="169" spans="33:35" ht="13.5">
      <c r="AG169" s="81">
        <f t="shared" si="7"/>
      </c>
      <c r="AH169" s="142">
        <v>0.0024752475247524753</v>
      </c>
      <c r="AI169" s="201">
        <f t="shared" si="8"/>
      </c>
    </row>
    <row r="170" spans="33:35" ht="13.5">
      <c r="AG170" s="81">
        <f t="shared" si="7"/>
      </c>
      <c r="AH170" s="142">
        <v>0.0024752475247524753</v>
      </c>
      <c r="AI170" s="201">
        <f t="shared" si="8"/>
      </c>
    </row>
    <row r="171" spans="33:35" ht="13.5">
      <c r="AG171" s="81">
        <f t="shared" si="7"/>
      </c>
      <c r="AH171" s="142">
        <v>0.0024752475247524753</v>
      </c>
      <c r="AI171" s="201">
        <f t="shared" si="8"/>
      </c>
    </row>
    <row r="172" spans="33:35" ht="13.5">
      <c r="AG172" s="81">
        <f t="shared" si="7"/>
      </c>
      <c r="AH172" s="142">
        <v>0.0024752475247524753</v>
      </c>
      <c r="AI172" s="201">
        <f t="shared" si="8"/>
      </c>
    </row>
    <row r="173" spans="33:35" ht="13.5">
      <c r="AG173" s="81">
        <f t="shared" si="7"/>
      </c>
      <c r="AH173" s="142">
        <v>0.0024752475247524753</v>
      </c>
      <c r="AI173" s="201">
        <f t="shared" si="8"/>
      </c>
    </row>
    <row r="174" spans="33:35" ht="13.5">
      <c r="AG174" s="81">
        <f t="shared" si="7"/>
      </c>
      <c r="AH174" s="142">
        <v>0.0024752475247524753</v>
      </c>
      <c r="AI174" s="201">
        <f t="shared" si="8"/>
      </c>
    </row>
    <row r="175" spans="33:35" ht="13.5">
      <c r="AG175" s="81">
        <f t="shared" si="7"/>
      </c>
      <c r="AH175" s="142">
        <v>0.0024752475247524753</v>
      </c>
      <c r="AI175" s="201">
        <f t="shared" si="8"/>
      </c>
    </row>
    <row r="176" spans="33:35" ht="13.5">
      <c r="AG176" s="81">
        <f t="shared" si="7"/>
      </c>
      <c r="AH176" s="142">
        <v>0.0024752475247524753</v>
      </c>
      <c r="AI176" s="201">
        <f t="shared" si="8"/>
      </c>
    </row>
    <row r="177" spans="33:35" ht="13.5">
      <c r="AG177" s="81">
        <f t="shared" si="7"/>
      </c>
      <c r="AH177" s="142">
        <v>0.0024752475247524753</v>
      </c>
      <c r="AI177" s="201">
        <f t="shared" si="8"/>
      </c>
    </row>
    <row r="178" spans="33:35" ht="13.5">
      <c r="AG178" s="81">
        <f t="shared" si="7"/>
      </c>
      <c r="AH178" s="142">
        <v>0.0024752475247524753</v>
      </c>
      <c r="AI178" s="201">
        <f t="shared" si="8"/>
      </c>
    </row>
    <row r="179" spans="33:35" ht="13.5">
      <c r="AG179" s="81">
        <f t="shared" si="7"/>
      </c>
      <c r="AH179" s="142">
        <v>0.0024752475247524753</v>
      </c>
      <c r="AI179" s="201">
        <f t="shared" si="8"/>
      </c>
    </row>
    <row r="180" spans="33:35" ht="13.5">
      <c r="AG180" s="81">
        <f t="shared" si="7"/>
      </c>
      <c r="AH180" s="142">
        <v>0.0024752475247524753</v>
      </c>
      <c r="AI180" s="201">
        <f t="shared" si="8"/>
      </c>
    </row>
    <row r="181" spans="33:35" ht="13.5">
      <c r="AG181" s="81">
        <f t="shared" si="7"/>
      </c>
      <c r="AH181" s="142">
        <v>0.0024752475247524753</v>
      </c>
      <c r="AI181" s="201">
        <f t="shared" si="8"/>
      </c>
    </row>
    <row r="182" spans="33:35" ht="13.5">
      <c r="AG182" s="81">
        <f t="shared" si="7"/>
      </c>
      <c r="AH182" s="142">
        <v>0.0024752475247524753</v>
      </c>
      <c r="AI182" s="201">
        <f t="shared" si="8"/>
      </c>
    </row>
    <row r="183" spans="33:35" ht="13.5">
      <c r="AG183" s="81">
        <f t="shared" si="7"/>
      </c>
      <c r="AH183" s="142">
        <v>0.0024752475247524753</v>
      </c>
      <c r="AI183" s="201">
        <f t="shared" si="8"/>
      </c>
    </row>
    <row r="184" spans="33:35" ht="13.5">
      <c r="AG184" s="81">
        <f t="shared" si="7"/>
      </c>
      <c r="AH184" s="142">
        <v>0.0024752475247524753</v>
      </c>
      <c r="AI184" s="201">
        <f t="shared" si="8"/>
      </c>
    </row>
    <row r="185" spans="33:35" ht="13.5">
      <c r="AG185" s="81">
        <f t="shared" si="7"/>
      </c>
      <c r="AH185" s="142">
        <v>0.0024752475247524753</v>
      </c>
      <c r="AI185" s="201">
        <f t="shared" si="8"/>
      </c>
    </row>
    <row r="186" spans="33:35" ht="13.5">
      <c r="AG186" s="81">
        <f t="shared" si="7"/>
      </c>
      <c r="AH186" s="142">
        <v>0.0024752475247524753</v>
      </c>
      <c r="AI186" s="201">
        <f t="shared" si="8"/>
      </c>
    </row>
    <row r="187" spans="33:35" ht="13.5">
      <c r="AG187" s="81">
        <f t="shared" si="7"/>
      </c>
      <c r="AH187" s="142">
        <v>0.0024752475247524753</v>
      </c>
      <c r="AI187" s="201">
        <f t="shared" si="8"/>
      </c>
    </row>
    <row r="188" spans="33:35" ht="13.5">
      <c r="AG188" s="81">
        <f t="shared" si="7"/>
      </c>
      <c r="AH188" s="142">
        <v>0.0024752475247524753</v>
      </c>
      <c r="AI188" s="201">
        <f t="shared" si="8"/>
      </c>
    </row>
    <row r="189" spans="33:35" ht="13.5">
      <c r="AG189" s="81">
        <f t="shared" si="7"/>
      </c>
      <c r="AH189" s="142">
        <v>0.0024752475247524753</v>
      </c>
      <c r="AI189" s="201">
        <f t="shared" si="8"/>
      </c>
    </row>
    <row r="190" spans="33:35" ht="13.5">
      <c r="AG190" s="81">
        <f t="shared" si="7"/>
      </c>
      <c r="AH190" s="142">
        <v>0.0024752475247524753</v>
      </c>
      <c r="AI190" s="201">
        <f t="shared" si="8"/>
      </c>
    </row>
    <row r="191" spans="33:35" ht="13.5">
      <c r="AG191" s="81">
        <f t="shared" si="7"/>
      </c>
      <c r="AH191" s="142">
        <v>0.0024752475247524753</v>
      </c>
      <c r="AI191" s="201">
        <f t="shared" si="8"/>
      </c>
    </row>
    <row r="192" spans="33:35" ht="13.5">
      <c r="AG192" s="81">
        <f t="shared" si="7"/>
      </c>
      <c r="AH192" s="142">
        <v>0.0024752475247524753</v>
      </c>
      <c r="AI192" s="201">
        <f t="shared" si="8"/>
      </c>
    </row>
    <row r="193" spans="33:35" ht="13.5">
      <c r="AG193" s="81">
        <f t="shared" si="7"/>
      </c>
      <c r="AH193" s="142">
        <v>0.0024752475247524753</v>
      </c>
      <c r="AI193" s="201">
        <f t="shared" si="8"/>
      </c>
    </row>
    <row r="194" spans="33:35" ht="13.5">
      <c r="AG194" s="81">
        <f t="shared" si="7"/>
      </c>
      <c r="AH194" s="142">
        <v>0.0024752475247524753</v>
      </c>
      <c r="AI194" s="201">
        <f t="shared" si="8"/>
      </c>
    </row>
    <row r="195" spans="33:35" ht="13.5">
      <c r="AG195" s="81">
        <f t="shared" si="7"/>
      </c>
      <c r="AH195" s="142">
        <v>0.0024752475247524753</v>
      </c>
      <c r="AI195" s="201">
        <f t="shared" si="8"/>
      </c>
    </row>
    <row r="196" spans="33:35" ht="13.5">
      <c r="AG196" s="81">
        <f t="shared" si="7"/>
      </c>
      <c r="AH196" s="142">
        <v>0.0024752475247524753</v>
      </c>
      <c r="AI196" s="201">
        <f t="shared" si="8"/>
      </c>
    </row>
    <row r="197" spans="33:35" ht="13.5">
      <c r="AG197" s="81">
        <f t="shared" si="7"/>
      </c>
      <c r="AH197" s="142">
        <v>0.0024752475247524753</v>
      </c>
      <c r="AI197" s="201">
        <f t="shared" si="8"/>
      </c>
    </row>
    <row r="198" spans="33:35" ht="13.5">
      <c r="AG198" s="81">
        <f t="shared" si="7"/>
      </c>
      <c r="AH198" s="142">
        <v>0.0024752475247524753</v>
      </c>
      <c r="AI198" s="201">
        <f t="shared" si="8"/>
      </c>
    </row>
    <row r="199" spans="33:35" ht="13.5">
      <c r="AG199" s="81">
        <f t="shared" si="7"/>
      </c>
      <c r="AH199" s="142">
        <v>0.0024752475247524753</v>
      </c>
      <c r="AI199" s="201">
        <f t="shared" si="8"/>
      </c>
    </row>
    <row r="200" spans="33:35" ht="13.5">
      <c r="AG200" s="81">
        <f t="shared" si="7"/>
      </c>
      <c r="AH200" s="142">
        <v>0.0024752475247524753</v>
      </c>
      <c r="AI200" s="201">
        <f t="shared" si="8"/>
      </c>
    </row>
    <row r="201" spans="33:35" ht="13.5">
      <c r="AG201" s="81">
        <f aca="true" t="shared" si="9" ref="AG201:AG264">IF(ROW()&gt;IF($D$6="1nm spectral data",413,89),"",IF($D$6="1nm spectral data",378,380)+IF($D$6="1nm spectral data",1,5)*(ROW()-9))</f>
      </c>
      <c r="AH201" s="142">
        <v>0.0024752475247524753</v>
      </c>
      <c r="AI201" s="201">
        <f t="shared" si="8"/>
      </c>
    </row>
    <row r="202" spans="33:35" ht="13.5">
      <c r="AG202" s="81">
        <f t="shared" si="9"/>
      </c>
      <c r="AH202" s="142">
        <v>0.0024752475247524753</v>
      </c>
      <c r="AI202" s="201">
        <f t="shared" si="8"/>
      </c>
    </row>
    <row r="203" spans="33:35" ht="13.5">
      <c r="AG203" s="81">
        <f t="shared" si="9"/>
      </c>
      <c r="AH203" s="142">
        <v>0.0024752475247524753</v>
      </c>
      <c r="AI203" s="201">
        <f t="shared" si="8"/>
      </c>
    </row>
    <row r="204" spans="33:35" ht="13.5">
      <c r="AG204" s="81">
        <f t="shared" si="9"/>
      </c>
      <c r="AH204" s="142">
        <v>0.0024752475247524753</v>
      </c>
      <c r="AI204" s="201">
        <f aca="true" t="shared" si="10" ref="AI204:AI267">IF(AND($D$6="1nm spectral data",$AG204&lt;&gt;""),IF($AG204/5=INT($AG204/5),SUM($AH202:$AH206),""),"")</f>
      </c>
    </row>
    <row r="205" spans="33:35" ht="13.5">
      <c r="AG205" s="81">
        <f t="shared" si="9"/>
      </c>
      <c r="AH205" s="142">
        <v>0.0024752475247524753</v>
      </c>
      <c r="AI205" s="201">
        <f t="shared" si="10"/>
      </c>
    </row>
    <row r="206" spans="33:35" ht="13.5">
      <c r="AG206" s="81">
        <f t="shared" si="9"/>
      </c>
      <c r="AH206" s="142">
        <v>0.0024752475247524753</v>
      </c>
      <c r="AI206" s="201">
        <f t="shared" si="10"/>
      </c>
    </row>
    <row r="207" spans="33:35" ht="13.5">
      <c r="AG207" s="81">
        <f t="shared" si="9"/>
      </c>
      <c r="AH207" s="142">
        <v>0.0024752475247524753</v>
      </c>
      <c r="AI207" s="201">
        <f t="shared" si="10"/>
      </c>
    </row>
    <row r="208" spans="33:35" ht="13.5">
      <c r="AG208" s="81">
        <f t="shared" si="9"/>
      </c>
      <c r="AH208" s="142">
        <v>0.0024752475247524753</v>
      </c>
      <c r="AI208" s="201">
        <f t="shared" si="10"/>
      </c>
    </row>
    <row r="209" spans="33:35" ht="13.5">
      <c r="AG209" s="81">
        <f t="shared" si="9"/>
      </c>
      <c r="AH209" s="142">
        <v>0.0024752475247524753</v>
      </c>
      <c r="AI209" s="201">
        <f t="shared" si="10"/>
      </c>
    </row>
    <row r="210" spans="33:35" ht="13.5">
      <c r="AG210" s="81">
        <f t="shared" si="9"/>
      </c>
      <c r="AH210" s="142">
        <v>0.0024752475247524753</v>
      </c>
      <c r="AI210" s="201">
        <f t="shared" si="10"/>
      </c>
    </row>
    <row r="211" spans="33:35" ht="13.5">
      <c r="AG211" s="81">
        <f t="shared" si="9"/>
      </c>
      <c r="AH211" s="142">
        <v>0.0024752475247524753</v>
      </c>
      <c r="AI211" s="201">
        <f t="shared" si="10"/>
      </c>
    </row>
    <row r="212" spans="33:35" ht="13.5">
      <c r="AG212" s="81">
        <f t="shared" si="9"/>
      </c>
      <c r="AH212" s="142">
        <v>0.0024752475247524753</v>
      </c>
      <c r="AI212" s="201">
        <f t="shared" si="10"/>
      </c>
    </row>
    <row r="213" spans="33:35" ht="13.5">
      <c r="AG213" s="81">
        <f t="shared" si="9"/>
      </c>
      <c r="AH213" s="142">
        <v>0.0024752475247524753</v>
      </c>
      <c r="AI213" s="201">
        <f t="shared" si="10"/>
      </c>
    </row>
    <row r="214" spans="33:35" ht="13.5">
      <c r="AG214" s="81">
        <f t="shared" si="9"/>
      </c>
      <c r="AH214" s="142">
        <v>0.0024752475247524753</v>
      </c>
      <c r="AI214" s="201">
        <f t="shared" si="10"/>
      </c>
    </row>
    <row r="215" spans="33:35" ht="13.5">
      <c r="AG215" s="81">
        <f t="shared" si="9"/>
      </c>
      <c r="AH215" s="142">
        <v>0.0024752475247524753</v>
      </c>
      <c r="AI215" s="201">
        <f t="shared" si="10"/>
      </c>
    </row>
    <row r="216" spans="33:35" ht="13.5">
      <c r="AG216" s="81">
        <f t="shared" si="9"/>
      </c>
      <c r="AH216" s="142">
        <v>0.0024752475247524753</v>
      </c>
      <c r="AI216" s="201">
        <f t="shared" si="10"/>
      </c>
    </row>
    <row r="217" spans="33:35" ht="13.5">
      <c r="AG217" s="81">
        <f t="shared" si="9"/>
      </c>
      <c r="AH217" s="142">
        <v>0.0024752475247524753</v>
      </c>
      <c r="AI217" s="201">
        <f t="shared" si="10"/>
      </c>
    </row>
    <row r="218" spans="33:35" ht="13.5">
      <c r="AG218" s="81">
        <f t="shared" si="9"/>
      </c>
      <c r="AH218" s="142">
        <v>0.0024752475247524753</v>
      </c>
      <c r="AI218" s="201">
        <f t="shared" si="10"/>
      </c>
    </row>
    <row r="219" spans="33:35" ht="13.5">
      <c r="AG219" s="81">
        <f t="shared" si="9"/>
      </c>
      <c r="AH219" s="142">
        <v>0.0024752475247524753</v>
      </c>
      <c r="AI219" s="201">
        <f t="shared" si="10"/>
      </c>
    </row>
    <row r="220" spans="33:35" ht="13.5">
      <c r="AG220" s="81">
        <f t="shared" si="9"/>
      </c>
      <c r="AH220" s="142">
        <v>0.0024752475247524753</v>
      </c>
      <c r="AI220" s="201">
        <f t="shared" si="10"/>
      </c>
    </row>
    <row r="221" spans="33:35" ht="13.5">
      <c r="AG221" s="81">
        <f t="shared" si="9"/>
      </c>
      <c r="AH221" s="142">
        <v>0.0024752475247524753</v>
      </c>
      <c r="AI221" s="201">
        <f t="shared" si="10"/>
      </c>
    </row>
    <row r="222" spans="33:35" ht="13.5">
      <c r="AG222" s="81">
        <f t="shared" si="9"/>
      </c>
      <c r="AH222" s="142">
        <v>0.0024752475247524753</v>
      </c>
      <c r="AI222" s="201">
        <f t="shared" si="10"/>
      </c>
    </row>
    <row r="223" spans="33:35" ht="13.5">
      <c r="AG223" s="81">
        <f t="shared" si="9"/>
      </c>
      <c r="AH223" s="142">
        <v>0.0024752475247524753</v>
      </c>
      <c r="AI223" s="201">
        <f t="shared" si="10"/>
      </c>
    </row>
    <row r="224" spans="33:35" ht="13.5">
      <c r="AG224" s="81">
        <f t="shared" si="9"/>
      </c>
      <c r="AH224" s="142">
        <v>0.0024752475247524753</v>
      </c>
      <c r="AI224" s="201">
        <f t="shared" si="10"/>
      </c>
    </row>
    <row r="225" spans="33:35" ht="13.5">
      <c r="AG225" s="81">
        <f t="shared" si="9"/>
      </c>
      <c r="AH225" s="142">
        <v>0.0024752475247524753</v>
      </c>
      <c r="AI225" s="201">
        <f t="shared" si="10"/>
      </c>
    </row>
    <row r="226" spans="33:35" ht="13.5">
      <c r="AG226" s="81">
        <f t="shared" si="9"/>
      </c>
      <c r="AH226" s="142">
        <v>0.0024752475247524753</v>
      </c>
      <c r="AI226" s="201">
        <f t="shared" si="10"/>
      </c>
    </row>
    <row r="227" spans="33:35" ht="13.5">
      <c r="AG227" s="81">
        <f t="shared" si="9"/>
      </c>
      <c r="AH227" s="142">
        <v>0.0024752475247524753</v>
      </c>
      <c r="AI227" s="201">
        <f t="shared" si="10"/>
      </c>
    </row>
    <row r="228" spans="33:35" ht="13.5">
      <c r="AG228" s="81">
        <f t="shared" si="9"/>
      </c>
      <c r="AH228" s="142">
        <v>0.0024752475247524753</v>
      </c>
      <c r="AI228" s="201">
        <f t="shared" si="10"/>
      </c>
    </row>
    <row r="229" spans="33:35" ht="13.5">
      <c r="AG229" s="81">
        <f t="shared" si="9"/>
      </c>
      <c r="AH229" s="142">
        <v>0.0024752475247524753</v>
      </c>
      <c r="AI229" s="201">
        <f t="shared" si="10"/>
      </c>
    </row>
    <row r="230" spans="33:35" ht="13.5">
      <c r="AG230" s="81">
        <f t="shared" si="9"/>
      </c>
      <c r="AH230" s="142">
        <v>0.0024752475247524753</v>
      </c>
      <c r="AI230" s="201">
        <f t="shared" si="10"/>
      </c>
    </row>
    <row r="231" spans="33:35" ht="13.5">
      <c r="AG231" s="81">
        <f t="shared" si="9"/>
      </c>
      <c r="AH231" s="142">
        <v>0.0024752475247524753</v>
      </c>
      <c r="AI231" s="201">
        <f t="shared" si="10"/>
      </c>
    </row>
    <row r="232" spans="33:35" ht="13.5">
      <c r="AG232" s="81">
        <f t="shared" si="9"/>
      </c>
      <c r="AH232" s="142">
        <v>0.0024752475247524753</v>
      </c>
      <c r="AI232" s="201">
        <f t="shared" si="10"/>
      </c>
    </row>
    <row r="233" spans="33:35" ht="13.5">
      <c r="AG233" s="81">
        <f t="shared" si="9"/>
      </c>
      <c r="AH233" s="142">
        <v>0.0024752475247524753</v>
      </c>
      <c r="AI233" s="201">
        <f t="shared" si="10"/>
      </c>
    </row>
    <row r="234" spans="33:35" ht="13.5">
      <c r="AG234" s="81">
        <f t="shared" si="9"/>
      </c>
      <c r="AH234" s="142">
        <v>0.0024752475247524753</v>
      </c>
      <c r="AI234" s="201">
        <f t="shared" si="10"/>
      </c>
    </row>
    <row r="235" spans="33:35" ht="13.5">
      <c r="AG235" s="81">
        <f t="shared" si="9"/>
      </c>
      <c r="AH235" s="142">
        <v>0.0024752475247524753</v>
      </c>
      <c r="AI235" s="201">
        <f t="shared" si="10"/>
      </c>
    </row>
    <row r="236" spans="33:35" ht="13.5">
      <c r="AG236" s="81">
        <f t="shared" si="9"/>
      </c>
      <c r="AH236" s="142">
        <v>0.0024752475247524753</v>
      </c>
      <c r="AI236" s="201">
        <f t="shared" si="10"/>
      </c>
    </row>
    <row r="237" spans="33:35" ht="13.5">
      <c r="AG237" s="81">
        <f t="shared" si="9"/>
      </c>
      <c r="AH237" s="142">
        <v>0.0024752475247524753</v>
      </c>
      <c r="AI237" s="201">
        <f t="shared" si="10"/>
      </c>
    </row>
    <row r="238" spans="33:35" ht="13.5">
      <c r="AG238" s="81">
        <f t="shared" si="9"/>
      </c>
      <c r="AH238" s="142">
        <v>0.0024752475247524753</v>
      </c>
      <c r="AI238" s="201">
        <f t="shared" si="10"/>
      </c>
    </row>
    <row r="239" spans="33:35" ht="13.5">
      <c r="AG239" s="81">
        <f t="shared" si="9"/>
      </c>
      <c r="AH239" s="142">
        <v>0.0024752475247524753</v>
      </c>
      <c r="AI239" s="201">
        <f t="shared" si="10"/>
      </c>
    </row>
    <row r="240" spans="33:35" ht="13.5">
      <c r="AG240" s="81">
        <f t="shared" si="9"/>
      </c>
      <c r="AH240" s="142">
        <v>0.0024752475247524753</v>
      </c>
      <c r="AI240" s="201">
        <f t="shared" si="10"/>
      </c>
    </row>
    <row r="241" spans="33:35" ht="13.5">
      <c r="AG241" s="81">
        <f t="shared" si="9"/>
      </c>
      <c r="AH241" s="142">
        <v>0.0024752475247524753</v>
      </c>
      <c r="AI241" s="201">
        <f t="shared" si="10"/>
      </c>
    </row>
    <row r="242" spans="33:35" ht="13.5">
      <c r="AG242" s="81">
        <f t="shared" si="9"/>
      </c>
      <c r="AH242" s="142">
        <v>0.0024752475247524753</v>
      </c>
      <c r="AI242" s="201">
        <f t="shared" si="10"/>
      </c>
    </row>
    <row r="243" spans="33:35" ht="13.5">
      <c r="AG243" s="81">
        <f t="shared" si="9"/>
      </c>
      <c r="AH243" s="142">
        <v>0.0024752475247524753</v>
      </c>
      <c r="AI243" s="201">
        <f t="shared" si="10"/>
      </c>
    </row>
    <row r="244" spans="33:35" ht="13.5">
      <c r="AG244" s="81">
        <f t="shared" si="9"/>
      </c>
      <c r="AH244" s="142">
        <v>0.0024752475247524753</v>
      </c>
      <c r="AI244" s="201">
        <f t="shared" si="10"/>
      </c>
    </row>
    <row r="245" spans="33:35" ht="13.5">
      <c r="AG245" s="81">
        <f t="shared" si="9"/>
      </c>
      <c r="AH245" s="142">
        <v>0.0024752475247524753</v>
      </c>
      <c r="AI245" s="201">
        <f t="shared" si="10"/>
      </c>
    </row>
    <row r="246" spans="33:35" ht="13.5">
      <c r="AG246" s="81">
        <f t="shared" si="9"/>
      </c>
      <c r="AH246" s="142">
        <v>0.0024752475247524753</v>
      </c>
      <c r="AI246" s="201">
        <f t="shared" si="10"/>
      </c>
    </row>
    <row r="247" spans="33:35" ht="13.5">
      <c r="AG247" s="81">
        <f t="shared" si="9"/>
      </c>
      <c r="AH247" s="142">
        <v>0.0024752475247524753</v>
      </c>
      <c r="AI247" s="201">
        <f t="shared" si="10"/>
      </c>
    </row>
    <row r="248" spans="33:35" ht="13.5">
      <c r="AG248" s="81">
        <f t="shared" si="9"/>
      </c>
      <c r="AH248" s="142">
        <v>0.0024752475247524753</v>
      </c>
      <c r="AI248" s="201">
        <f t="shared" si="10"/>
      </c>
    </row>
    <row r="249" spans="33:35" ht="13.5">
      <c r="AG249" s="81">
        <f t="shared" si="9"/>
      </c>
      <c r="AH249" s="142">
        <v>0.0024752475247524753</v>
      </c>
      <c r="AI249" s="201">
        <f t="shared" si="10"/>
      </c>
    </row>
    <row r="250" spans="33:35" ht="13.5">
      <c r="AG250" s="81">
        <f t="shared" si="9"/>
      </c>
      <c r="AH250" s="142">
        <v>0.0024752475247524753</v>
      </c>
      <c r="AI250" s="201">
        <f t="shared" si="10"/>
      </c>
    </row>
    <row r="251" spans="33:35" ht="13.5">
      <c r="AG251" s="81">
        <f t="shared" si="9"/>
      </c>
      <c r="AH251" s="142">
        <v>0.0024752475247524753</v>
      </c>
      <c r="AI251" s="201">
        <f t="shared" si="10"/>
      </c>
    </row>
    <row r="252" spans="33:35" ht="13.5">
      <c r="AG252" s="81">
        <f t="shared" si="9"/>
      </c>
      <c r="AH252" s="142">
        <v>0.0024752475247524753</v>
      </c>
      <c r="AI252" s="201">
        <f t="shared" si="10"/>
      </c>
    </row>
    <row r="253" spans="33:35" ht="13.5">
      <c r="AG253" s="81">
        <f t="shared" si="9"/>
      </c>
      <c r="AH253" s="142">
        <v>0.0024752475247524753</v>
      </c>
      <c r="AI253" s="201">
        <f t="shared" si="10"/>
      </c>
    </row>
    <row r="254" spans="33:35" ht="13.5">
      <c r="AG254" s="81">
        <f t="shared" si="9"/>
      </c>
      <c r="AH254" s="142">
        <v>0.0024752475247524753</v>
      </c>
      <c r="AI254" s="201">
        <f t="shared" si="10"/>
      </c>
    </row>
    <row r="255" spans="33:35" ht="13.5">
      <c r="AG255" s="81">
        <f t="shared" si="9"/>
      </c>
      <c r="AH255" s="142">
        <v>0.0024752475247524753</v>
      </c>
      <c r="AI255" s="201">
        <f t="shared" si="10"/>
      </c>
    </row>
    <row r="256" spans="33:35" ht="13.5">
      <c r="AG256" s="81">
        <f t="shared" si="9"/>
      </c>
      <c r="AH256" s="142">
        <v>0.0024752475247524753</v>
      </c>
      <c r="AI256" s="201">
        <f t="shared" si="10"/>
      </c>
    </row>
    <row r="257" spans="33:35" ht="13.5">
      <c r="AG257" s="81">
        <f t="shared" si="9"/>
      </c>
      <c r="AH257" s="142">
        <v>0.0024752475247524753</v>
      </c>
      <c r="AI257" s="201">
        <f t="shared" si="10"/>
      </c>
    </row>
    <row r="258" spans="33:35" ht="13.5">
      <c r="AG258" s="81">
        <f t="shared" si="9"/>
      </c>
      <c r="AH258" s="142">
        <v>0.0024752475247524753</v>
      </c>
      <c r="AI258" s="201">
        <f t="shared" si="10"/>
      </c>
    </row>
    <row r="259" spans="33:35" ht="13.5">
      <c r="AG259" s="81">
        <f t="shared" si="9"/>
      </c>
      <c r="AH259" s="142">
        <v>0.0024752475247524753</v>
      </c>
      <c r="AI259" s="201">
        <f t="shared" si="10"/>
      </c>
    </row>
    <row r="260" spans="33:35" ht="13.5">
      <c r="AG260" s="81">
        <f t="shared" si="9"/>
      </c>
      <c r="AH260" s="142">
        <v>0.0024752475247524753</v>
      </c>
      <c r="AI260" s="201">
        <f t="shared" si="10"/>
      </c>
    </row>
    <row r="261" spans="33:35" ht="13.5">
      <c r="AG261" s="81">
        <f t="shared" si="9"/>
      </c>
      <c r="AH261" s="142">
        <v>0.0024752475247524753</v>
      </c>
      <c r="AI261" s="201">
        <f t="shared" si="10"/>
      </c>
    </row>
    <row r="262" spans="33:35" ht="13.5">
      <c r="AG262" s="81">
        <f t="shared" si="9"/>
      </c>
      <c r="AH262" s="142">
        <v>0.0024752475247524753</v>
      </c>
      <c r="AI262" s="201">
        <f t="shared" si="10"/>
      </c>
    </row>
    <row r="263" spans="33:35" ht="13.5">
      <c r="AG263" s="81">
        <f t="shared" si="9"/>
      </c>
      <c r="AH263" s="142">
        <v>0.0024752475247524753</v>
      </c>
      <c r="AI263" s="201">
        <f t="shared" si="10"/>
      </c>
    </row>
    <row r="264" spans="33:35" ht="13.5">
      <c r="AG264" s="81">
        <f t="shared" si="9"/>
      </c>
      <c r="AH264" s="142">
        <v>0.0024752475247524753</v>
      </c>
      <c r="AI264" s="201">
        <f t="shared" si="10"/>
      </c>
    </row>
    <row r="265" spans="33:35" ht="13.5">
      <c r="AG265" s="81">
        <f aca="true" t="shared" si="11" ref="AG265:AG328">IF(ROW()&gt;IF($D$6="1nm spectral data",413,89),"",IF($D$6="1nm spectral data",378,380)+IF($D$6="1nm spectral data",1,5)*(ROW()-9))</f>
      </c>
      <c r="AH265" s="142">
        <v>0.0024752475247524753</v>
      </c>
      <c r="AI265" s="201">
        <f t="shared" si="10"/>
      </c>
    </row>
    <row r="266" spans="33:35" ht="13.5">
      <c r="AG266" s="81">
        <f t="shared" si="11"/>
      </c>
      <c r="AH266" s="142">
        <v>0.0024752475247524753</v>
      </c>
      <c r="AI266" s="201">
        <f t="shared" si="10"/>
      </c>
    </row>
    <row r="267" spans="33:35" ht="13.5">
      <c r="AG267" s="81">
        <f t="shared" si="11"/>
      </c>
      <c r="AH267" s="142">
        <v>0.0024752475247524753</v>
      </c>
      <c r="AI267" s="201">
        <f t="shared" si="10"/>
      </c>
    </row>
    <row r="268" spans="33:35" ht="13.5">
      <c r="AG268" s="81">
        <f t="shared" si="11"/>
      </c>
      <c r="AH268" s="142">
        <v>0.0024752475247524753</v>
      </c>
      <c r="AI268" s="201">
        <f aca="true" t="shared" si="12" ref="AI268:AI331">IF(AND($D$6="1nm spectral data",$AG268&lt;&gt;""),IF($AG268/5=INT($AG268/5),SUM($AH266:$AH270),""),"")</f>
      </c>
    </row>
    <row r="269" spans="33:35" ht="13.5">
      <c r="AG269" s="81">
        <f t="shared" si="11"/>
      </c>
      <c r="AH269" s="142">
        <v>0.0024752475247524753</v>
      </c>
      <c r="AI269" s="201">
        <f t="shared" si="12"/>
      </c>
    </row>
    <row r="270" spans="33:35" ht="13.5">
      <c r="AG270" s="81">
        <f t="shared" si="11"/>
      </c>
      <c r="AH270" s="142">
        <v>0.0024752475247524753</v>
      </c>
      <c r="AI270" s="201">
        <f t="shared" si="12"/>
      </c>
    </row>
    <row r="271" spans="33:35" ht="13.5">
      <c r="AG271" s="81">
        <f t="shared" si="11"/>
      </c>
      <c r="AH271" s="142">
        <v>0.0024752475247524753</v>
      </c>
      <c r="AI271" s="201">
        <f t="shared" si="12"/>
      </c>
    </row>
    <row r="272" spans="33:35" ht="13.5">
      <c r="AG272" s="81">
        <f t="shared" si="11"/>
      </c>
      <c r="AH272" s="142">
        <v>0.0024752475247524753</v>
      </c>
      <c r="AI272" s="201">
        <f t="shared" si="12"/>
      </c>
    </row>
    <row r="273" spans="33:35" ht="13.5">
      <c r="AG273" s="81">
        <f t="shared" si="11"/>
      </c>
      <c r="AH273" s="142">
        <v>0.0024752475247524753</v>
      </c>
      <c r="AI273" s="201">
        <f t="shared" si="12"/>
      </c>
    </row>
    <row r="274" spans="33:35" ht="13.5">
      <c r="AG274" s="81">
        <f t="shared" si="11"/>
      </c>
      <c r="AH274" s="142">
        <v>0.0024752475247524753</v>
      </c>
      <c r="AI274" s="201">
        <f t="shared" si="12"/>
      </c>
    </row>
    <row r="275" spans="33:35" ht="13.5">
      <c r="AG275" s="81">
        <f t="shared" si="11"/>
      </c>
      <c r="AH275" s="142">
        <v>0.0024752475247524753</v>
      </c>
      <c r="AI275" s="201">
        <f t="shared" si="12"/>
      </c>
    </row>
    <row r="276" spans="33:35" ht="13.5">
      <c r="AG276" s="81">
        <f t="shared" si="11"/>
      </c>
      <c r="AH276" s="142">
        <v>0.0024752475247524753</v>
      </c>
      <c r="AI276" s="201">
        <f t="shared" si="12"/>
      </c>
    </row>
    <row r="277" spans="33:35" ht="13.5">
      <c r="AG277" s="81">
        <f t="shared" si="11"/>
      </c>
      <c r="AH277" s="142">
        <v>0.0024752475247524753</v>
      </c>
      <c r="AI277" s="201">
        <f t="shared" si="12"/>
      </c>
    </row>
    <row r="278" spans="33:35" ht="13.5">
      <c r="AG278" s="81">
        <f t="shared" si="11"/>
      </c>
      <c r="AH278" s="142">
        <v>0.0024752475247524753</v>
      </c>
      <c r="AI278" s="201">
        <f t="shared" si="12"/>
      </c>
    </row>
    <row r="279" spans="33:35" ht="13.5">
      <c r="AG279" s="81">
        <f t="shared" si="11"/>
      </c>
      <c r="AH279" s="142">
        <v>0.0024752475247524753</v>
      </c>
      <c r="AI279" s="201">
        <f t="shared" si="12"/>
      </c>
    </row>
    <row r="280" spans="33:35" ht="13.5">
      <c r="AG280" s="81">
        <f t="shared" si="11"/>
      </c>
      <c r="AH280" s="142">
        <v>0.0024752475247524753</v>
      </c>
      <c r="AI280" s="201">
        <f t="shared" si="12"/>
      </c>
    </row>
    <row r="281" spans="33:35" ht="13.5">
      <c r="AG281" s="81">
        <f t="shared" si="11"/>
      </c>
      <c r="AH281" s="142">
        <v>0.0024752475247524753</v>
      </c>
      <c r="AI281" s="201">
        <f t="shared" si="12"/>
      </c>
    </row>
    <row r="282" spans="33:35" ht="13.5">
      <c r="AG282" s="81">
        <f t="shared" si="11"/>
      </c>
      <c r="AH282" s="142">
        <v>0.0024752475247524753</v>
      </c>
      <c r="AI282" s="201">
        <f t="shared" si="12"/>
      </c>
    </row>
    <row r="283" spans="33:35" ht="13.5">
      <c r="AG283" s="81">
        <f t="shared" si="11"/>
      </c>
      <c r="AH283" s="142">
        <v>0.0024752475247524753</v>
      </c>
      <c r="AI283" s="201">
        <f t="shared" si="12"/>
      </c>
    </row>
    <row r="284" spans="33:35" ht="13.5">
      <c r="AG284" s="81">
        <f t="shared" si="11"/>
      </c>
      <c r="AH284" s="142">
        <v>0.0024752475247524753</v>
      </c>
      <c r="AI284" s="201">
        <f t="shared" si="12"/>
      </c>
    </row>
    <row r="285" spans="33:35" ht="13.5">
      <c r="AG285" s="81">
        <f t="shared" si="11"/>
      </c>
      <c r="AH285" s="142">
        <v>0.0024752475247524753</v>
      </c>
      <c r="AI285" s="201">
        <f t="shared" si="12"/>
      </c>
    </row>
    <row r="286" spans="33:35" ht="13.5">
      <c r="AG286" s="81">
        <f t="shared" si="11"/>
      </c>
      <c r="AH286" s="142">
        <v>0.0024752475247524753</v>
      </c>
      <c r="AI286" s="201">
        <f t="shared" si="12"/>
      </c>
    </row>
    <row r="287" spans="33:35" ht="13.5">
      <c r="AG287" s="81">
        <f t="shared" si="11"/>
      </c>
      <c r="AH287" s="142">
        <v>0.0024752475247524753</v>
      </c>
      <c r="AI287" s="201">
        <f t="shared" si="12"/>
      </c>
    </row>
    <row r="288" spans="33:35" ht="13.5">
      <c r="AG288" s="81">
        <f t="shared" si="11"/>
      </c>
      <c r="AH288" s="142">
        <v>0.0024752475247524753</v>
      </c>
      <c r="AI288" s="201">
        <f t="shared" si="12"/>
      </c>
    </row>
    <row r="289" spans="33:35" ht="13.5">
      <c r="AG289" s="81">
        <f t="shared" si="11"/>
      </c>
      <c r="AH289" s="142">
        <v>0.0024752475247524753</v>
      </c>
      <c r="AI289" s="201">
        <f t="shared" si="12"/>
      </c>
    </row>
    <row r="290" spans="33:35" ht="13.5">
      <c r="AG290" s="81">
        <f t="shared" si="11"/>
      </c>
      <c r="AH290" s="142">
        <v>0.0024752475247524753</v>
      </c>
      <c r="AI290" s="201">
        <f t="shared" si="12"/>
      </c>
    </row>
    <row r="291" spans="33:35" ht="13.5">
      <c r="AG291" s="81">
        <f t="shared" si="11"/>
      </c>
      <c r="AH291" s="142">
        <v>0.0024752475247524753</v>
      </c>
      <c r="AI291" s="201">
        <f t="shared" si="12"/>
      </c>
    </row>
    <row r="292" spans="33:35" ht="13.5">
      <c r="AG292" s="81">
        <f t="shared" si="11"/>
      </c>
      <c r="AH292" s="142">
        <v>0.0024752475247524753</v>
      </c>
      <c r="AI292" s="201">
        <f t="shared" si="12"/>
      </c>
    </row>
    <row r="293" spans="33:35" ht="13.5">
      <c r="AG293" s="81">
        <f t="shared" si="11"/>
      </c>
      <c r="AH293" s="142">
        <v>0.0024752475247524753</v>
      </c>
      <c r="AI293" s="201">
        <f t="shared" si="12"/>
      </c>
    </row>
    <row r="294" spans="33:35" ht="13.5">
      <c r="AG294" s="81">
        <f t="shared" si="11"/>
      </c>
      <c r="AH294" s="142">
        <v>0.0024752475247524753</v>
      </c>
      <c r="AI294" s="201">
        <f t="shared" si="12"/>
      </c>
    </row>
    <row r="295" spans="33:35" ht="13.5">
      <c r="AG295" s="81">
        <f t="shared" si="11"/>
      </c>
      <c r="AH295" s="142">
        <v>0.0024752475247524753</v>
      </c>
      <c r="AI295" s="201">
        <f t="shared" si="12"/>
      </c>
    </row>
    <row r="296" spans="33:35" ht="13.5">
      <c r="AG296" s="81">
        <f t="shared" si="11"/>
      </c>
      <c r="AH296" s="142">
        <v>0.0024752475247524753</v>
      </c>
      <c r="AI296" s="201">
        <f t="shared" si="12"/>
      </c>
    </row>
    <row r="297" spans="33:35" ht="13.5">
      <c r="AG297" s="81">
        <f t="shared" si="11"/>
      </c>
      <c r="AH297" s="142">
        <v>0.0024752475247524753</v>
      </c>
      <c r="AI297" s="201">
        <f t="shared" si="12"/>
      </c>
    </row>
    <row r="298" spans="33:35" ht="13.5">
      <c r="AG298" s="81">
        <f t="shared" si="11"/>
      </c>
      <c r="AH298" s="142">
        <v>0.0024752475247524753</v>
      </c>
      <c r="AI298" s="201">
        <f t="shared" si="12"/>
      </c>
    </row>
    <row r="299" spans="33:35" ht="13.5">
      <c r="AG299" s="81">
        <f t="shared" si="11"/>
      </c>
      <c r="AH299" s="142">
        <v>0.0024752475247524753</v>
      </c>
      <c r="AI299" s="201">
        <f t="shared" si="12"/>
      </c>
    </row>
    <row r="300" spans="33:35" ht="13.5">
      <c r="AG300" s="81">
        <f t="shared" si="11"/>
      </c>
      <c r="AH300" s="142">
        <v>0.0024752475247524753</v>
      </c>
      <c r="AI300" s="201">
        <f t="shared" si="12"/>
      </c>
    </row>
    <row r="301" spans="33:35" ht="13.5">
      <c r="AG301" s="81">
        <f t="shared" si="11"/>
      </c>
      <c r="AH301" s="142">
        <v>0.0024752475247524753</v>
      </c>
      <c r="AI301" s="201">
        <f t="shared" si="12"/>
      </c>
    </row>
    <row r="302" spans="33:35" ht="13.5">
      <c r="AG302" s="81">
        <f t="shared" si="11"/>
      </c>
      <c r="AH302" s="142">
        <v>0.0024752475247524753</v>
      </c>
      <c r="AI302" s="201">
        <f t="shared" si="12"/>
      </c>
    </row>
    <row r="303" spans="33:35" ht="13.5">
      <c r="AG303" s="81">
        <f t="shared" si="11"/>
      </c>
      <c r="AH303" s="142">
        <v>0.0024752475247524753</v>
      </c>
      <c r="AI303" s="201">
        <f t="shared" si="12"/>
      </c>
    </row>
    <row r="304" spans="33:35" ht="13.5">
      <c r="AG304" s="81">
        <f t="shared" si="11"/>
      </c>
      <c r="AH304" s="142">
        <v>0.0024752475247524753</v>
      </c>
      <c r="AI304" s="201">
        <f t="shared" si="12"/>
      </c>
    </row>
    <row r="305" spans="33:35" ht="13.5">
      <c r="AG305" s="81">
        <f t="shared" si="11"/>
      </c>
      <c r="AH305" s="142">
        <v>0.0024752475247524753</v>
      </c>
      <c r="AI305" s="201">
        <f t="shared" si="12"/>
      </c>
    </row>
    <row r="306" spans="33:35" ht="13.5">
      <c r="AG306" s="81">
        <f t="shared" si="11"/>
      </c>
      <c r="AH306" s="142">
        <v>0.0024752475247524753</v>
      </c>
      <c r="AI306" s="201">
        <f t="shared" si="12"/>
      </c>
    </row>
    <row r="307" spans="33:35" ht="13.5">
      <c r="AG307" s="81">
        <f t="shared" si="11"/>
      </c>
      <c r="AH307" s="142">
        <v>0.0024752475247524753</v>
      </c>
      <c r="AI307" s="201">
        <f t="shared" si="12"/>
      </c>
    </row>
    <row r="308" spans="33:35" ht="13.5">
      <c r="AG308" s="81">
        <f t="shared" si="11"/>
      </c>
      <c r="AH308" s="142">
        <v>0.0024752475247524753</v>
      </c>
      <c r="AI308" s="201">
        <f t="shared" si="12"/>
      </c>
    </row>
    <row r="309" spans="33:35" ht="13.5">
      <c r="AG309" s="81">
        <f t="shared" si="11"/>
      </c>
      <c r="AH309" s="142">
        <v>0.0024752475247524753</v>
      </c>
      <c r="AI309" s="201">
        <f t="shared" si="12"/>
      </c>
    </row>
    <row r="310" spans="33:35" ht="13.5">
      <c r="AG310" s="81">
        <f t="shared" si="11"/>
      </c>
      <c r="AH310" s="142">
        <v>0.0024752475247524753</v>
      </c>
      <c r="AI310" s="201">
        <f t="shared" si="12"/>
      </c>
    </row>
    <row r="311" spans="33:35" ht="13.5">
      <c r="AG311" s="81">
        <f t="shared" si="11"/>
      </c>
      <c r="AH311" s="142">
        <v>0.0024752475247524753</v>
      </c>
      <c r="AI311" s="201">
        <f t="shared" si="12"/>
      </c>
    </row>
    <row r="312" spans="33:35" ht="13.5">
      <c r="AG312" s="81">
        <f t="shared" si="11"/>
      </c>
      <c r="AH312" s="142">
        <v>0.0024752475247524753</v>
      </c>
      <c r="AI312" s="201">
        <f t="shared" si="12"/>
      </c>
    </row>
    <row r="313" spans="33:35" ht="13.5">
      <c r="AG313" s="81">
        <f t="shared" si="11"/>
      </c>
      <c r="AH313" s="142">
        <v>0.0024752475247524753</v>
      </c>
      <c r="AI313" s="201">
        <f t="shared" si="12"/>
      </c>
    </row>
    <row r="314" spans="33:35" ht="13.5">
      <c r="AG314" s="81">
        <f t="shared" si="11"/>
      </c>
      <c r="AH314" s="142">
        <v>0.0024752475247524753</v>
      </c>
      <c r="AI314" s="201">
        <f t="shared" si="12"/>
      </c>
    </row>
    <row r="315" spans="33:35" ht="13.5">
      <c r="AG315" s="81">
        <f t="shared" si="11"/>
      </c>
      <c r="AH315" s="142">
        <v>0.0024752475247524753</v>
      </c>
      <c r="AI315" s="201">
        <f t="shared" si="12"/>
      </c>
    </row>
    <row r="316" spans="33:35" ht="13.5">
      <c r="AG316" s="81">
        <f t="shared" si="11"/>
      </c>
      <c r="AH316" s="142">
        <v>0.0024752475247524753</v>
      </c>
      <c r="AI316" s="201">
        <f t="shared" si="12"/>
      </c>
    </row>
    <row r="317" spans="33:35" ht="13.5">
      <c r="AG317" s="81">
        <f t="shared" si="11"/>
      </c>
      <c r="AH317" s="142">
        <v>0.0024752475247524753</v>
      </c>
      <c r="AI317" s="201">
        <f t="shared" si="12"/>
      </c>
    </row>
    <row r="318" spans="33:35" ht="13.5">
      <c r="AG318" s="81">
        <f t="shared" si="11"/>
      </c>
      <c r="AH318" s="142">
        <v>0.0024752475247524753</v>
      </c>
      <c r="AI318" s="201">
        <f t="shared" si="12"/>
      </c>
    </row>
    <row r="319" spans="33:35" ht="13.5">
      <c r="AG319" s="81">
        <f t="shared" si="11"/>
      </c>
      <c r="AH319" s="142">
        <v>0.0024752475247524753</v>
      </c>
      <c r="AI319" s="201">
        <f t="shared" si="12"/>
      </c>
    </row>
    <row r="320" spans="33:35" ht="13.5">
      <c r="AG320" s="81">
        <f t="shared" si="11"/>
      </c>
      <c r="AH320" s="142">
        <v>0.0024752475247524753</v>
      </c>
      <c r="AI320" s="201">
        <f t="shared" si="12"/>
      </c>
    </row>
    <row r="321" spans="33:35" ht="13.5">
      <c r="AG321" s="81">
        <f t="shared" si="11"/>
      </c>
      <c r="AH321" s="142">
        <v>0.0024752475247524753</v>
      </c>
      <c r="AI321" s="201">
        <f t="shared" si="12"/>
      </c>
    </row>
    <row r="322" spans="33:35" ht="13.5">
      <c r="AG322" s="81">
        <f t="shared" si="11"/>
      </c>
      <c r="AH322" s="142">
        <v>0.0024752475247524753</v>
      </c>
      <c r="AI322" s="201">
        <f t="shared" si="12"/>
      </c>
    </row>
    <row r="323" spans="33:35" ht="13.5">
      <c r="AG323" s="81">
        <f t="shared" si="11"/>
      </c>
      <c r="AH323" s="142">
        <v>0.0024752475247524753</v>
      </c>
      <c r="AI323" s="201">
        <f t="shared" si="12"/>
      </c>
    </row>
    <row r="324" spans="33:35" ht="13.5">
      <c r="AG324" s="81">
        <f t="shared" si="11"/>
      </c>
      <c r="AH324" s="142">
        <v>0.0024752475247524753</v>
      </c>
      <c r="AI324" s="201">
        <f t="shared" si="12"/>
      </c>
    </row>
    <row r="325" spans="33:35" ht="13.5">
      <c r="AG325" s="81">
        <f t="shared" si="11"/>
      </c>
      <c r="AH325" s="142">
        <v>0.0024752475247524753</v>
      </c>
      <c r="AI325" s="201">
        <f t="shared" si="12"/>
      </c>
    </row>
    <row r="326" spans="33:35" ht="13.5">
      <c r="AG326" s="81">
        <f t="shared" si="11"/>
      </c>
      <c r="AH326" s="142">
        <v>0.0024752475247524753</v>
      </c>
      <c r="AI326" s="201">
        <f t="shared" si="12"/>
      </c>
    </row>
    <row r="327" spans="33:35" ht="13.5">
      <c r="AG327" s="81">
        <f t="shared" si="11"/>
      </c>
      <c r="AH327" s="142">
        <v>0.0024752475247524753</v>
      </c>
      <c r="AI327" s="201">
        <f t="shared" si="12"/>
      </c>
    </row>
    <row r="328" spans="33:35" ht="13.5">
      <c r="AG328" s="81">
        <f t="shared" si="11"/>
      </c>
      <c r="AH328" s="142">
        <v>0.0024752475247524753</v>
      </c>
      <c r="AI328" s="201">
        <f t="shared" si="12"/>
      </c>
    </row>
    <row r="329" spans="33:35" ht="13.5">
      <c r="AG329" s="81">
        <f aca="true" t="shared" si="13" ref="AG329:AG392">IF(ROW()&gt;IF($D$6="1nm spectral data",413,89),"",IF($D$6="1nm spectral data",378,380)+IF($D$6="1nm spectral data",1,5)*(ROW()-9))</f>
      </c>
      <c r="AH329" s="142">
        <v>0.0024752475247524753</v>
      </c>
      <c r="AI329" s="201">
        <f t="shared" si="12"/>
      </c>
    </row>
    <row r="330" spans="33:35" ht="13.5">
      <c r="AG330" s="81">
        <f t="shared" si="13"/>
      </c>
      <c r="AH330" s="142">
        <v>0.0024752475247524753</v>
      </c>
      <c r="AI330" s="201">
        <f t="shared" si="12"/>
      </c>
    </row>
    <row r="331" spans="33:35" ht="13.5">
      <c r="AG331" s="81">
        <f t="shared" si="13"/>
      </c>
      <c r="AH331" s="142">
        <v>0.0024752475247524753</v>
      </c>
      <c r="AI331" s="201">
        <f t="shared" si="12"/>
      </c>
    </row>
    <row r="332" spans="33:35" ht="13.5">
      <c r="AG332" s="81">
        <f t="shared" si="13"/>
      </c>
      <c r="AH332" s="142">
        <v>0.0024752475247524753</v>
      </c>
      <c r="AI332" s="201">
        <f aca="true" t="shared" si="14" ref="AI332:AI395">IF(AND($D$6="1nm spectral data",$AG332&lt;&gt;""),IF($AG332/5=INT($AG332/5),SUM($AH330:$AH334),""),"")</f>
      </c>
    </row>
    <row r="333" spans="33:35" ht="13.5">
      <c r="AG333" s="81">
        <f t="shared" si="13"/>
      </c>
      <c r="AH333" s="142">
        <v>0.0024752475247524753</v>
      </c>
      <c r="AI333" s="201">
        <f t="shared" si="14"/>
      </c>
    </row>
    <row r="334" spans="33:35" ht="13.5">
      <c r="AG334" s="81">
        <f t="shared" si="13"/>
      </c>
      <c r="AH334" s="142">
        <v>0.0024752475247524753</v>
      </c>
      <c r="AI334" s="201">
        <f t="shared" si="14"/>
      </c>
    </row>
    <row r="335" spans="33:35" ht="13.5">
      <c r="AG335" s="81">
        <f t="shared" si="13"/>
      </c>
      <c r="AH335" s="142">
        <v>0.0024752475247524753</v>
      </c>
      <c r="AI335" s="201">
        <f t="shared" si="14"/>
      </c>
    </row>
    <row r="336" spans="33:35" ht="13.5">
      <c r="AG336" s="81">
        <f t="shared" si="13"/>
      </c>
      <c r="AH336" s="142">
        <v>0.0024752475247524753</v>
      </c>
      <c r="AI336" s="201">
        <f t="shared" si="14"/>
      </c>
    </row>
    <row r="337" spans="33:35" ht="13.5">
      <c r="AG337" s="81">
        <f t="shared" si="13"/>
      </c>
      <c r="AH337" s="142">
        <v>0.0024752475247524753</v>
      </c>
      <c r="AI337" s="201">
        <f t="shared" si="14"/>
      </c>
    </row>
    <row r="338" spans="33:35" ht="13.5">
      <c r="AG338" s="81">
        <f t="shared" si="13"/>
      </c>
      <c r="AH338" s="142">
        <v>0.0024752475247524753</v>
      </c>
      <c r="AI338" s="201">
        <f t="shared" si="14"/>
      </c>
    </row>
    <row r="339" spans="33:35" ht="13.5">
      <c r="AG339" s="81">
        <f t="shared" si="13"/>
      </c>
      <c r="AH339" s="142">
        <v>0.0024752475247524753</v>
      </c>
      <c r="AI339" s="201">
        <f t="shared" si="14"/>
      </c>
    </row>
    <row r="340" spans="33:35" ht="13.5">
      <c r="AG340" s="81">
        <f t="shared" si="13"/>
      </c>
      <c r="AH340" s="142">
        <v>0.0024752475247524753</v>
      </c>
      <c r="AI340" s="201">
        <f t="shared" si="14"/>
      </c>
    </row>
    <row r="341" spans="33:35" ht="13.5">
      <c r="AG341" s="81">
        <f t="shared" si="13"/>
      </c>
      <c r="AH341" s="142">
        <v>0.0024752475247524753</v>
      </c>
      <c r="AI341" s="201">
        <f t="shared" si="14"/>
      </c>
    </row>
    <row r="342" spans="33:35" ht="13.5">
      <c r="AG342" s="81">
        <f t="shared" si="13"/>
      </c>
      <c r="AH342" s="142">
        <v>0.0024752475247524753</v>
      </c>
      <c r="AI342" s="201">
        <f t="shared" si="14"/>
      </c>
    </row>
    <row r="343" spans="33:35" ht="13.5">
      <c r="AG343" s="81">
        <f t="shared" si="13"/>
      </c>
      <c r="AH343" s="142">
        <v>0.0024752475247524753</v>
      </c>
      <c r="AI343" s="201">
        <f t="shared" si="14"/>
      </c>
    </row>
    <row r="344" spans="33:35" ht="13.5">
      <c r="AG344" s="81">
        <f t="shared" si="13"/>
      </c>
      <c r="AH344" s="142">
        <v>0.0024752475247524753</v>
      </c>
      <c r="AI344" s="201">
        <f t="shared" si="14"/>
      </c>
    </row>
    <row r="345" spans="33:35" ht="13.5">
      <c r="AG345" s="81">
        <f t="shared" si="13"/>
      </c>
      <c r="AH345" s="142">
        <v>0.0024752475247524753</v>
      </c>
      <c r="AI345" s="201">
        <f t="shared" si="14"/>
      </c>
    </row>
    <row r="346" spans="33:35" ht="13.5">
      <c r="AG346" s="81">
        <f t="shared" si="13"/>
      </c>
      <c r="AH346" s="142">
        <v>0.0024752475247524753</v>
      </c>
      <c r="AI346" s="201">
        <f t="shared" si="14"/>
      </c>
    </row>
    <row r="347" spans="33:35" ht="13.5">
      <c r="AG347" s="81">
        <f t="shared" si="13"/>
      </c>
      <c r="AH347" s="142">
        <v>0.0024752475247524753</v>
      </c>
      <c r="AI347" s="201">
        <f t="shared" si="14"/>
      </c>
    </row>
    <row r="348" spans="33:35" ht="13.5">
      <c r="AG348" s="81">
        <f t="shared" si="13"/>
      </c>
      <c r="AH348" s="142">
        <v>0.0024752475247524753</v>
      </c>
      <c r="AI348" s="201">
        <f t="shared" si="14"/>
      </c>
    </row>
    <row r="349" spans="33:35" ht="13.5">
      <c r="AG349" s="81">
        <f t="shared" si="13"/>
      </c>
      <c r="AH349" s="142">
        <v>0.0024752475247524753</v>
      </c>
      <c r="AI349" s="201">
        <f t="shared" si="14"/>
      </c>
    </row>
    <row r="350" spans="33:35" ht="13.5">
      <c r="AG350" s="81">
        <f t="shared" si="13"/>
      </c>
      <c r="AH350" s="142">
        <v>0.0024752475247524753</v>
      </c>
      <c r="AI350" s="201">
        <f t="shared" si="14"/>
      </c>
    </row>
    <row r="351" spans="33:35" ht="13.5">
      <c r="AG351" s="81">
        <f t="shared" si="13"/>
      </c>
      <c r="AH351" s="142">
        <v>0.0024752475247524753</v>
      </c>
      <c r="AI351" s="201">
        <f t="shared" si="14"/>
      </c>
    </row>
    <row r="352" spans="33:35" ht="13.5">
      <c r="AG352" s="81">
        <f t="shared" si="13"/>
      </c>
      <c r="AH352" s="142">
        <v>0.0024752475247524753</v>
      </c>
      <c r="AI352" s="201">
        <f t="shared" si="14"/>
      </c>
    </row>
    <row r="353" spans="33:35" ht="13.5">
      <c r="AG353" s="81">
        <f t="shared" si="13"/>
      </c>
      <c r="AH353" s="142">
        <v>0.0024752475247524753</v>
      </c>
      <c r="AI353" s="201">
        <f t="shared" si="14"/>
      </c>
    </row>
    <row r="354" spans="33:35" ht="13.5">
      <c r="AG354" s="81">
        <f t="shared" si="13"/>
      </c>
      <c r="AH354" s="142">
        <v>0.0024752475247524753</v>
      </c>
      <c r="AI354" s="201">
        <f t="shared" si="14"/>
      </c>
    </row>
    <row r="355" spans="33:35" ht="13.5">
      <c r="AG355" s="81">
        <f t="shared" si="13"/>
      </c>
      <c r="AH355" s="142">
        <v>0.0024752475247524753</v>
      </c>
      <c r="AI355" s="201">
        <f t="shared" si="14"/>
      </c>
    </row>
    <row r="356" spans="33:35" ht="13.5">
      <c r="AG356" s="81">
        <f t="shared" si="13"/>
      </c>
      <c r="AH356" s="142">
        <v>0.0024752475247524753</v>
      </c>
      <c r="AI356" s="201">
        <f t="shared" si="14"/>
      </c>
    </row>
    <row r="357" spans="33:35" ht="13.5">
      <c r="AG357" s="81">
        <f t="shared" si="13"/>
      </c>
      <c r="AH357" s="142">
        <v>0.0024752475247524753</v>
      </c>
      <c r="AI357" s="201">
        <f t="shared" si="14"/>
      </c>
    </row>
    <row r="358" spans="33:35" ht="13.5">
      <c r="AG358" s="81">
        <f t="shared" si="13"/>
      </c>
      <c r="AH358" s="142">
        <v>0.0024752475247524753</v>
      </c>
      <c r="AI358" s="201">
        <f t="shared" si="14"/>
      </c>
    </row>
    <row r="359" spans="33:35" ht="13.5">
      <c r="AG359" s="81">
        <f t="shared" si="13"/>
      </c>
      <c r="AH359" s="142">
        <v>0.0024752475247524753</v>
      </c>
      <c r="AI359" s="201">
        <f t="shared" si="14"/>
      </c>
    </row>
    <row r="360" spans="33:35" ht="13.5">
      <c r="AG360" s="81">
        <f t="shared" si="13"/>
      </c>
      <c r="AH360" s="142">
        <v>0.0024752475247524753</v>
      </c>
      <c r="AI360" s="201">
        <f t="shared" si="14"/>
      </c>
    </row>
    <row r="361" spans="33:35" ht="13.5">
      <c r="AG361" s="81">
        <f t="shared" si="13"/>
      </c>
      <c r="AH361" s="142">
        <v>0.0024752475247524753</v>
      </c>
      <c r="AI361" s="201">
        <f t="shared" si="14"/>
      </c>
    </row>
    <row r="362" spans="33:35" ht="13.5">
      <c r="AG362" s="81">
        <f t="shared" si="13"/>
      </c>
      <c r="AH362" s="142">
        <v>0.0024752475247524753</v>
      </c>
      <c r="AI362" s="201">
        <f t="shared" si="14"/>
      </c>
    </row>
    <row r="363" spans="33:35" ht="13.5">
      <c r="AG363" s="81">
        <f t="shared" si="13"/>
      </c>
      <c r="AH363" s="142">
        <v>0.0024752475247524753</v>
      </c>
      <c r="AI363" s="201">
        <f t="shared" si="14"/>
      </c>
    </row>
    <row r="364" spans="33:35" ht="13.5">
      <c r="AG364" s="81">
        <f t="shared" si="13"/>
      </c>
      <c r="AH364" s="142">
        <v>0.0024752475247524753</v>
      </c>
      <c r="AI364" s="201">
        <f t="shared" si="14"/>
      </c>
    </row>
    <row r="365" spans="33:35" ht="13.5">
      <c r="AG365" s="81">
        <f t="shared" si="13"/>
      </c>
      <c r="AH365" s="142">
        <v>0.0024752475247524753</v>
      </c>
      <c r="AI365" s="201">
        <f t="shared" si="14"/>
      </c>
    </row>
    <row r="366" spans="33:35" ht="13.5">
      <c r="AG366" s="81">
        <f t="shared" si="13"/>
      </c>
      <c r="AH366" s="142">
        <v>0.0024752475247524753</v>
      </c>
      <c r="AI366" s="201">
        <f t="shared" si="14"/>
      </c>
    </row>
    <row r="367" spans="33:35" ht="13.5">
      <c r="AG367" s="81">
        <f t="shared" si="13"/>
      </c>
      <c r="AH367" s="142">
        <v>0.0024752475247524753</v>
      </c>
      <c r="AI367" s="201">
        <f t="shared" si="14"/>
      </c>
    </row>
    <row r="368" spans="33:35" ht="13.5">
      <c r="AG368" s="81">
        <f t="shared" si="13"/>
      </c>
      <c r="AH368" s="142">
        <v>0.0024752475247524753</v>
      </c>
      <c r="AI368" s="201">
        <f t="shared" si="14"/>
      </c>
    </row>
    <row r="369" spans="33:35" ht="13.5">
      <c r="AG369" s="81">
        <f t="shared" si="13"/>
      </c>
      <c r="AH369" s="142">
        <v>0.0024752475247524753</v>
      </c>
      <c r="AI369" s="201">
        <f t="shared" si="14"/>
      </c>
    </row>
    <row r="370" spans="33:35" ht="13.5">
      <c r="AG370" s="81">
        <f t="shared" si="13"/>
      </c>
      <c r="AH370" s="142">
        <v>0.0024752475247524753</v>
      </c>
      <c r="AI370" s="201">
        <f t="shared" si="14"/>
      </c>
    </row>
    <row r="371" spans="33:35" ht="13.5">
      <c r="AG371" s="81">
        <f t="shared" si="13"/>
      </c>
      <c r="AH371" s="142">
        <v>0.0024752475247524753</v>
      </c>
      <c r="AI371" s="201">
        <f t="shared" si="14"/>
      </c>
    </row>
    <row r="372" spans="33:35" ht="13.5">
      <c r="AG372" s="81">
        <f t="shared" si="13"/>
      </c>
      <c r="AH372" s="142">
        <v>0.0024752475247524753</v>
      </c>
      <c r="AI372" s="201">
        <f t="shared" si="14"/>
      </c>
    </row>
    <row r="373" spans="33:35" ht="13.5">
      <c r="AG373" s="81">
        <f t="shared" si="13"/>
      </c>
      <c r="AH373" s="142">
        <v>0.0024752475247524753</v>
      </c>
      <c r="AI373" s="201">
        <f t="shared" si="14"/>
      </c>
    </row>
    <row r="374" spans="33:35" ht="13.5">
      <c r="AG374" s="81">
        <f t="shared" si="13"/>
      </c>
      <c r="AH374" s="142">
        <v>0.0024752475247524753</v>
      </c>
      <c r="AI374" s="201">
        <f t="shared" si="14"/>
      </c>
    </row>
    <row r="375" spans="33:35" ht="13.5">
      <c r="AG375" s="81">
        <f t="shared" si="13"/>
      </c>
      <c r="AH375" s="142">
        <v>0.0024752475247524753</v>
      </c>
      <c r="AI375" s="201">
        <f t="shared" si="14"/>
      </c>
    </row>
    <row r="376" spans="33:35" ht="13.5">
      <c r="AG376" s="81">
        <f t="shared" si="13"/>
      </c>
      <c r="AH376" s="142">
        <v>0.0024752475247524753</v>
      </c>
      <c r="AI376" s="201">
        <f t="shared" si="14"/>
      </c>
    </row>
    <row r="377" spans="33:35" ht="13.5">
      <c r="AG377" s="81">
        <f t="shared" si="13"/>
      </c>
      <c r="AH377" s="142">
        <v>0.0024752475247524753</v>
      </c>
      <c r="AI377" s="201">
        <f t="shared" si="14"/>
      </c>
    </row>
    <row r="378" spans="33:35" ht="13.5">
      <c r="AG378" s="81">
        <f t="shared" si="13"/>
      </c>
      <c r="AH378" s="142">
        <v>0.0024752475247524753</v>
      </c>
      <c r="AI378" s="201">
        <f t="shared" si="14"/>
      </c>
    </row>
    <row r="379" spans="33:35" ht="13.5">
      <c r="AG379" s="81">
        <f t="shared" si="13"/>
      </c>
      <c r="AH379" s="142">
        <v>0.0024752475247524753</v>
      </c>
      <c r="AI379" s="201">
        <f t="shared" si="14"/>
      </c>
    </row>
    <row r="380" spans="33:35" ht="13.5">
      <c r="AG380" s="81">
        <f t="shared" si="13"/>
      </c>
      <c r="AH380" s="142">
        <v>0.0024752475247524753</v>
      </c>
      <c r="AI380" s="201">
        <f t="shared" si="14"/>
      </c>
    </row>
    <row r="381" spans="33:35" ht="13.5">
      <c r="AG381" s="81">
        <f t="shared" si="13"/>
      </c>
      <c r="AH381" s="142">
        <v>0.0024752475247524753</v>
      </c>
      <c r="AI381" s="201">
        <f t="shared" si="14"/>
      </c>
    </row>
    <row r="382" spans="33:35" ht="13.5">
      <c r="AG382" s="81">
        <f t="shared" si="13"/>
      </c>
      <c r="AH382" s="142">
        <v>0.0024752475247524753</v>
      </c>
      <c r="AI382" s="201">
        <f t="shared" si="14"/>
      </c>
    </row>
    <row r="383" spans="33:35" ht="13.5">
      <c r="AG383" s="81">
        <f t="shared" si="13"/>
      </c>
      <c r="AH383" s="142">
        <v>0.0024752475247524753</v>
      </c>
      <c r="AI383" s="201">
        <f t="shared" si="14"/>
      </c>
    </row>
    <row r="384" spans="33:35" ht="13.5">
      <c r="AG384" s="81">
        <f t="shared" si="13"/>
      </c>
      <c r="AH384" s="142">
        <v>0.0024752475247524753</v>
      </c>
      <c r="AI384" s="201">
        <f t="shared" si="14"/>
      </c>
    </row>
    <row r="385" spans="33:35" ht="13.5">
      <c r="AG385" s="81">
        <f t="shared" si="13"/>
      </c>
      <c r="AH385" s="142">
        <v>0.0024752475247524753</v>
      </c>
      <c r="AI385" s="201">
        <f t="shared" si="14"/>
      </c>
    </row>
    <row r="386" spans="33:35" ht="13.5">
      <c r="AG386" s="81">
        <f t="shared" si="13"/>
      </c>
      <c r="AH386" s="142">
        <v>0.0024752475247524753</v>
      </c>
      <c r="AI386" s="201">
        <f t="shared" si="14"/>
      </c>
    </row>
    <row r="387" spans="33:35" ht="13.5">
      <c r="AG387" s="81">
        <f t="shared" si="13"/>
      </c>
      <c r="AH387" s="142">
        <v>0.0024752475247524753</v>
      </c>
      <c r="AI387" s="201">
        <f t="shared" si="14"/>
      </c>
    </row>
    <row r="388" spans="33:35" ht="13.5">
      <c r="AG388" s="81">
        <f t="shared" si="13"/>
      </c>
      <c r="AH388" s="142">
        <v>0.0024752475247524753</v>
      </c>
      <c r="AI388" s="201">
        <f t="shared" si="14"/>
      </c>
    </row>
    <row r="389" spans="33:35" ht="13.5">
      <c r="AG389" s="81">
        <f t="shared" si="13"/>
      </c>
      <c r="AH389" s="142">
        <v>0.0024752475247524753</v>
      </c>
      <c r="AI389" s="201">
        <f t="shared" si="14"/>
      </c>
    </row>
    <row r="390" spans="33:35" ht="13.5">
      <c r="AG390" s="81">
        <f t="shared" si="13"/>
      </c>
      <c r="AH390" s="142">
        <v>0.0024752475247524753</v>
      </c>
      <c r="AI390" s="201">
        <f t="shared" si="14"/>
      </c>
    </row>
    <row r="391" spans="33:35" ht="13.5">
      <c r="AG391" s="81">
        <f t="shared" si="13"/>
      </c>
      <c r="AH391" s="142">
        <v>0.0024752475247524753</v>
      </c>
      <c r="AI391" s="201">
        <f t="shared" si="14"/>
      </c>
    </row>
    <row r="392" spans="33:35" ht="13.5">
      <c r="AG392" s="81">
        <f t="shared" si="13"/>
      </c>
      <c r="AH392" s="142">
        <v>0.0024752475247524753</v>
      </c>
      <c r="AI392" s="201">
        <f t="shared" si="14"/>
      </c>
    </row>
    <row r="393" spans="33:35" ht="13.5">
      <c r="AG393" s="81">
        <f aca="true" t="shared" si="15" ref="AG393:AG413">IF(ROW()&gt;IF($D$6="1nm spectral data",413,89),"",IF($D$6="1nm spectral data",378,380)+IF($D$6="1nm spectral data",1,5)*(ROW()-9))</f>
      </c>
      <c r="AH393" s="142">
        <v>0.0024752475247524753</v>
      </c>
      <c r="AI393" s="201">
        <f t="shared" si="14"/>
      </c>
    </row>
    <row r="394" spans="33:35" ht="13.5">
      <c r="AG394" s="81">
        <f t="shared" si="15"/>
      </c>
      <c r="AH394" s="142">
        <v>0.0024752475247524753</v>
      </c>
      <c r="AI394" s="201">
        <f t="shared" si="14"/>
      </c>
    </row>
    <row r="395" spans="33:35" ht="13.5">
      <c r="AG395" s="81">
        <f t="shared" si="15"/>
      </c>
      <c r="AH395" s="142">
        <v>0.0024752475247524753</v>
      </c>
      <c r="AI395" s="201">
        <f t="shared" si="14"/>
      </c>
    </row>
    <row r="396" spans="33:35" ht="13.5">
      <c r="AG396" s="81">
        <f t="shared" si="15"/>
      </c>
      <c r="AH396" s="142">
        <v>0.0024752475247524753</v>
      </c>
      <c r="AI396" s="201">
        <f aca="true" t="shared" si="16" ref="AI396:AI411">IF(AND($D$6="1nm spectral data",$AG396&lt;&gt;""),IF($AG396/5=INT($AG396/5),SUM($AH394:$AH398),""),"")</f>
      </c>
    </row>
    <row r="397" spans="33:35" ht="13.5">
      <c r="AG397" s="81">
        <f t="shared" si="15"/>
      </c>
      <c r="AH397" s="142">
        <v>0.0024752475247524753</v>
      </c>
      <c r="AI397" s="201">
        <f t="shared" si="16"/>
      </c>
    </row>
    <row r="398" spans="33:35" ht="13.5">
      <c r="AG398" s="81">
        <f t="shared" si="15"/>
      </c>
      <c r="AH398" s="142">
        <v>0.0024752475247524753</v>
      </c>
      <c r="AI398" s="201">
        <f t="shared" si="16"/>
      </c>
    </row>
    <row r="399" spans="33:35" ht="13.5">
      <c r="AG399" s="81">
        <f t="shared" si="15"/>
      </c>
      <c r="AH399" s="142">
        <v>0.0024752475247524753</v>
      </c>
      <c r="AI399" s="201">
        <f t="shared" si="16"/>
      </c>
    </row>
    <row r="400" spans="33:35" ht="13.5">
      <c r="AG400" s="81">
        <f t="shared" si="15"/>
      </c>
      <c r="AH400" s="142">
        <v>0.0024752475247524753</v>
      </c>
      <c r="AI400" s="201">
        <f t="shared" si="16"/>
      </c>
    </row>
    <row r="401" spans="33:35" ht="13.5">
      <c r="AG401" s="81">
        <f t="shared" si="15"/>
      </c>
      <c r="AH401" s="142">
        <v>0.0024752475247524753</v>
      </c>
      <c r="AI401" s="201">
        <f t="shared" si="16"/>
      </c>
    </row>
    <row r="402" spans="33:35" ht="13.5">
      <c r="AG402" s="81">
        <f t="shared" si="15"/>
      </c>
      <c r="AH402" s="142">
        <v>0.0024752475247524753</v>
      </c>
      <c r="AI402" s="201">
        <f t="shared" si="16"/>
      </c>
    </row>
    <row r="403" spans="33:35" ht="13.5">
      <c r="AG403" s="81">
        <f t="shared" si="15"/>
      </c>
      <c r="AH403" s="142">
        <v>0.0024752475247524753</v>
      </c>
      <c r="AI403" s="201">
        <f t="shared" si="16"/>
      </c>
    </row>
    <row r="404" spans="33:35" ht="13.5">
      <c r="AG404" s="81">
        <f t="shared" si="15"/>
      </c>
      <c r="AH404" s="142">
        <v>0.0024752475247524753</v>
      </c>
      <c r="AI404" s="201">
        <f t="shared" si="16"/>
      </c>
    </row>
    <row r="405" spans="33:35" ht="13.5">
      <c r="AG405" s="81">
        <f t="shared" si="15"/>
      </c>
      <c r="AH405" s="142">
        <v>0.0024752475247524753</v>
      </c>
      <c r="AI405" s="201">
        <f t="shared" si="16"/>
      </c>
    </row>
    <row r="406" spans="33:35" ht="13.5">
      <c r="AG406" s="81">
        <f t="shared" si="15"/>
      </c>
      <c r="AH406" s="142">
        <v>0.0024752475247524753</v>
      </c>
      <c r="AI406" s="201">
        <f t="shared" si="16"/>
      </c>
    </row>
    <row r="407" spans="33:35" ht="13.5">
      <c r="AG407" s="81">
        <f t="shared" si="15"/>
      </c>
      <c r="AH407" s="142">
        <v>0.0024752475247524753</v>
      </c>
      <c r="AI407" s="201">
        <f t="shared" si="16"/>
      </c>
    </row>
    <row r="408" spans="33:35" ht="13.5">
      <c r="AG408" s="81">
        <f t="shared" si="15"/>
      </c>
      <c r="AH408" s="142">
        <v>0.0024752475247524753</v>
      </c>
      <c r="AI408" s="201">
        <f t="shared" si="16"/>
      </c>
    </row>
    <row r="409" spans="33:35" ht="13.5">
      <c r="AG409" s="81">
        <f t="shared" si="15"/>
      </c>
      <c r="AH409" s="142">
        <v>0.0024752475247524753</v>
      </c>
      <c r="AI409" s="201">
        <f t="shared" si="16"/>
      </c>
    </row>
    <row r="410" spans="33:35" ht="13.5">
      <c r="AG410" s="81">
        <f t="shared" si="15"/>
      </c>
      <c r="AH410" s="142">
        <v>0.0024752475247524753</v>
      </c>
      <c r="AI410" s="201">
        <f t="shared" si="16"/>
      </c>
    </row>
    <row r="411" spans="33:35" ht="13.5">
      <c r="AG411" s="81">
        <f t="shared" si="15"/>
      </c>
      <c r="AH411" s="142">
        <v>0.0024752475247524753</v>
      </c>
      <c r="AI411" s="201">
        <f t="shared" si="16"/>
      </c>
    </row>
    <row r="412" spans="33:34" ht="13.5">
      <c r="AG412" s="81">
        <f t="shared" si="15"/>
      </c>
      <c r="AH412" s="142">
        <v>0.0024752475247524753</v>
      </c>
    </row>
    <row r="413" spans="33:34" ht="15" thickBot="1">
      <c r="AG413" s="81">
        <f t="shared" si="15"/>
      </c>
      <c r="AH413" s="143">
        <v>0.0024752475247524753</v>
      </c>
    </row>
  </sheetData>
  <sheetProtection password="D0DA" sheet="1"/>
  <mergeCells count="3">
    <mergeCell ref="D4:I4"/>
    <mergeCell ref="N4:O4"/>
    <mergeCell ref="V4:AB4"/>
  </mergeCells>
  <dataValidations count="9">
    <dataValidation type="whole" allowBlank="1" showInputMessage="1" showErrorMessage="1" promptTitle="Narrowband peak" prompt="Values from 400 nm to 750 nm" sqref="D18">
      <formula1>400</formula1>
      <formula2>750</formula2>
    </dataValidation>
    <dataValidation type="whole" allowBlank="1" showInputMessage="1" showErrorMessage="1" promptTitle="Full width half maximum, FWHM" prompt="Values from 5 nm to 50 nm" sqref="D19">
      <formula1>5</formula1>
      <formula2>50</formula2>
    </dataValidation>
    <dataValidation type="whole" allowBlank="1" showInputMessage="1" showErrorMessage="1" promptTitle="Blackbody temperature" prompt="Values from 2000 K to 20,000 K" sqref="D17">
      <formula1>2000</formula1>
      <formula2>20000</formula2>
    </dataValidation>
    <dataValidation type="list" showInputMessage="1" showErrorMessage="1" promptTitle="Units of measured light quantity" prompt="L = illuminance (&quot;lux&quot;)&#10;P = irradiance (&quot;power&quot;)&#10;Q = log (photon flux) (&quot;quanta&quot;)&#10;" sqref="D13">
      <formula1>"L, P, Q"</formula1>
    </dataValidation>
    <dataValidation type="list" showInputMessage="1" showErrorMessage="1" promptTitle="Light source" prompt="A = Illuminant A (incandescent, 2856K)&#10;D = Illuminant D65 (daylight, 6504K)&#10;F = Illuminant F (fluorescent, CCT ~3000K)&#10;L = White LED (blue+phospor, CCT ~4730K)&#10;N = Narrowband, incl monochromatic&#10;B = Blackbody spectra&#10;E = equal energy (for normalisation)" sqref="D12">
      <formula1>"A, D, F, L, N, B, E"</formula1>
    </dataValidation>
    <dataValidation type="decimal" operator="greaterThan" showInputMessage="1" showErrorMessage="1" sqref="D14">
      <formula1>0</formula1>
    </dataValidation>
    <dataValidation type="textLength" operator="lessThan" showInputMessage="1" showErrorMessage="1" sqref="D4:I4">
      <formula1>32</formula1>
    </dataValidation>
    <dataValidation type="list" showInputMessage="1" showErrorMessage="1" promptTitle="Choose mode of operation" prompt="If spectral data measured outside the eye is not used, the differences between this and the actual data used may lead to errors. In particular, the spectra of most standard illuminants options are unlikely to be reproduced exactly in practice." sqref="D6">
      <formula1>"1nm spectral data, 5nm spectral data, approximate mode"</formula1>
    </dataValidation>
    <dataValidation type="list" allowBlank="1" showInputMessage="1" showErrorMessage="1" promptTitle="Select pigment" prompt="Choose between cyanopic, melanopic, rhodopic, chloropic and erythropic weighting functions for calculating the red line  in the Spectral Power Distribution chart." sqref="N4:O4">
      <formula1>$D$27:$D$31</formula1>
    </dataValidation>
  </dataValidations>
  <printOptions/>
  <pageMargins left="0.7086614173228347" right="0.7086614173228347" top="0.7480314960629921" bottom="0.7480314960629921" header="0.31496062992125984" footer="0.31496062992125984"/>
  <pageSetup fitToWidth="2" horizontalDpi="600" verticalDpi="600" orientation="portrait" scale="47"/>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dimension ref="A1:Z104"/>
  <sheetViews>
    <sheetView zoomScale="90" zoomScaleNormal="90" zoomScalePageLayoutView="0" workbookViewId="0" topLeftCell="A1">
      <selection activeCell="A1" sqref="A1"/>
    </sheetView>
  </sheetViews>
  <sheetFormatPr defaultColWidth="9.140625" defaultRowHeight="15"/>
  <cols>
    <col min="1" max="1" width="5.7109375" style="10" customWidth="1"/>
    <col min="2" max="6" width="9.140625" style="10" customWidth="1"/>
    <col min="7" max="7" width="9.421875" style="11" bestFit="1" customWidth="1"/>
    <col min="8" max="13" width="9.140625" style="11" customWidth="1"/>
    <col min="14" max="14" width="9.140625" style="10" customWidth="1"/>
    <col min="15" max="15" width="1.7109375" style="10" customWidth="1"/>
    <col min="16" max="16" width="5.7109375" style="10" customWidth="1"/>
    <col min="17" max="22" width="9.140625" style="10" customWidth="1"/>
    <col min="23" max="23" width="1.7109375" style="10" customWidth="1"/>
    <col min="24" max="24" width="5.7109375" style="10" customWidth="1"/>
    <col min="25" max="25" width="9.140625" style="10" customWidth="1"/>
    <col min="26" max="26" width="1.7109375" style="10" customWidth="1"/>
    <col min="27" max="16384" width="9.140625" style="10" customWidth="1"/>
  </cols>
  <sheetData>
    <row r="1" spans="13:19" ht="15">
      <c r="M1" s="48"/>
      <c r="S1" s="79"/>
    </row>
    <row r="2" spans="1:13" ht="33">
      <c r="A2" s="26" t="s">
        <v>33</v>
      </c>
      <c r="B2" s="11"/>
      <c r="D2" s="25"/>
      <c r="G2" s="10"/>
      <c r="H2" s="10"/>
      <c r="I2" s="10"/>
      <c r="J2" s="10"/>
      <c r="K2" s="10"/>
      <c r="L2" s="10"/>
      <c r="M2" s="10"/>
    </row>
    <row r="3" spans="6:26" ht="15" customHeight="1">
      <c r="F3" s="11"/>
      <c r="I3" s="10"/>
      <c r="J3" s="10"/>
      <c r="K3" s="10"/>
      <c r="M3" s="48"/>
      <c r="O3" s="14"/>
      <c r="P3" s="51"/>
      <c r="W3" s="14"/>
      <c r="X3" s="51"/>
      <c r="Y3" s="51"/>
      <c r="Z3" s="14"/>
    </row>
    <row r="4" spans="3:22" ht="15" customHeight="1">
      <c r="C4" s="30" t="s">
        <v>67</v>
      </c>
      <c r="G4" s="48"/>
      <c r="H4" s="30" t="s">
        <v>68</v>
      </c>
      <c r="L4" s="30" t="s">
        <v>66</v>
      </c>
      <c r="Q4" s="30" t="s">
        <v>97</v>
      </c>
      <c r="R4" s="51"/>
      <c r="S4" s="51"/>
      <c r="T4" s="51"/>
      <c r="U4" s="51"/>
      <c r="V4" s="51"/>
    </row>
    <row r="5" spans="1:23" ht="15" customHeight="1">
      <c r="A5" s="9"/>
      <c r="B5" s="60" t="s">
        <v>45</v>
      </c>
      <c r="C5" s="167">
        <f>IF(C18="exact",SUM(Toolbox!U9:U89),IF(C6="Q",10^Toolbox!D14,Toolbox!D14))</f>
        <v>0</v>
      </c>
      <c r="G5" s="53" t="s">
        <v>50</v>
      </c>
      <c r="H5" s="174" t="e">
        <f>SUMPRODUCT(V$22:V$102,$N$22:$N$102)</f>
        <v>#DIV/0!</v>
      </c>
      <c r="I5" s="65" t="s">
        <v>87</v>
      </c>
      <c r="J5" s="52"/>
      <c r="K5" s="53" t="s">
        <v>48</v>
      </c>
      <c r="L5" s="174" t="e">
        <f>IF($C$6="L",1,IF($C$6="Q",$H$9/$H$10,$H$9))*$C$5</f>
        <v>#DIV/0!</v>
      </c>
      <c r="M5" s="65" t="s">
        <v>87</v>
      </c>
      <c r="P5" s="74" t="s">
        <v>47</v>
      </c>
      <c r="Q5" s="75" t="e">
        <f aca="true" t="shared" si="0" ref="Q5:V5">$L$6*$C$9*SUMPRODUCT($N$22:$N$102,Q$22:Q$102)*SUM($V$22:$V$102)/SUM(Q$22:Q$102)</f>
        <v>#DIV/0!</v>
      </c>
      <c r="R5" s="75" t="e">
        <f t="shared" si="0"/>
        <v>#DIV/0!</v>
      </c>
      <c r="S5" s="75" t="e">
        <f t="shared" si="0"/>
        <v>#DIV/0!</v>
      </c>
      <c r="T5" s="75" t="e">
        <f t="shared" si="0"/>
        <v>#DIV/0!</v>
      </c>
      <c r="U5" s="76" t="e">
        <f t="shared" si="0"/>
        <v>#DIV/0!</v>
      </c>
      <c r="V5" s="219" t="e">
        <f t="shared" si="0"/>
        <v>#DIV/0!</v>
      </c>
      <c r="W5" s="47" t="s">
        <v>95</v>
      </c>
    </row>
    <row r="6" spans="2:13" ht="15" customHeight="1">
      <c r="B6" s="61" t="s">
        <v>46</v>
      </c>
      <c r="C6" s="168" t="str">
        <f>IF(C18="exact","P",Toolbox!D13)</f>
        <v>P</v>
      </c>
      <c r="D6" s="59" t="s">
        <v>69</v>
      </c>
      <c r="G6" s="54" t="s">
        <v>49</v>
      </c>
      <c r="H6" s="178" t="e">
        <f>SUM($N$22:$N$102)</f>
        <v>#DIV/0!</v>
      </c>
      <c r="I6" s="65" t="s">
        <v>86</v>
      </c>
      <c r="J6" s="52"/>
      <c r="K6" s="54" t="s">
        <v>52</v>
      </c>
      <c r="L6" s="175">
        <f>IF($C$6="P",1,IF($C$6="Q",1/$H$10,1/$H$9))*$C$5</f>
        <v>0</v>
      </c>
      <c r="M6" s="46" t="s">
        <v>86</v>
      </c>
    </row>
    <row r="7" spans="2:22" ht="15" customHeight="1">
      <c r="B7" s="62" t="s">
        <v>58</v>
      </c>
      <c r="C7" s="169" t="str">
        <f>IF(C18="exact","U",Toolbox!D12)</f>
        <v>U</v>
      </c>
      <c r="D7" s="199" t="s">
        <v>154</v>
      </c>
      <c r="G7" s="54" t="s">
        <v>51</v>
      </c>
      <c r="H7" s="179" t="e">
        <f>SUMPRODUCT($N$22:$N$102,$P$22:$P$102)</f>
        <v>#DIV/0!</v>
      </c>
      <c r="I7" s="65" t="s">
        <v>88</v>
      </c>
      <c r="J7" s="52"/>
      <c r="K7" s="54" t="s">
        <v>53</v>
      </c>
      <c r="L7" s="175" t="e">
        <f>IF($C$6="Q",1,IF($C$6="P",$H$10,$H$10/$H$9))*$C$5</f>
        <v>#DIV/0!</v>
      </c>
      <c r="M7" s="65" t="s">
        <v>88</v>
      </c>
      <c r="O7" s="185"/>
      <c r="P7" s="185" t="s">
        <v>189</v>
      </c>
      <c r="Q7" s="185"/>
      <c r="R7" s="185"/>
      <c r="S7" s="185"/>
      <c r="T7" s="185"/>
      <c r="U7" s="185"/>
      <c r="V7" s="185"/>
    </row>
    <row r="8" spans="3:22" ht="15" customHeight="1">
      <c r="C8" s="30" t="s">
        <v>89</v>
      </c>
      <c r="E8" s="11"/>
      <c r="G8" s="54"/>
      <c r="H8" s="176"/>
      <c r="I8" s="52"/>
      <c r="J8" s="52"/>
      <c r="K8" s="54"/>
      <c r="L8" s="176"/>
      <c r="O8" s="185"/>
      <c r="P8" s="68" t="s">
        <v>13</v>
      </c>
      <c r="Q8" s="216">
        <v>558.4</v>
      </c>
      <c r="R8" s="216">
        <v>530.8</v>
      </c>
      <c r="S8" s="216">
        <v>496.3</v>
      </c>
      <c r="T8" s="216">
        <v>480</v>
      </c>
      <c r="U8" s="216">
        <v>419</v>
      </c>
      <c r="V8" s="216">
        <v>555</v>
      </c>
    </row>
    <row r="9" spans="2:16" ht="15" customHeight="1">
      <c r="B9" s="67" t="s">
        <v>96</v>
      </c>
      <c r="C9" s="181">
        <f>$L$17*(0.000001/(0.01^2))</f>
        <v>6.8300154779022675</v>
      </c>
      <c r="D9" s="27" t="s">
        <v>92</v>
      </c>
      <c r="E9" s="68"/>
      <c r="G9" s="54" t="s">
        <v>44</v>
      </c>
      <c r="H9" s="176" t="e">
        <f>C9*(H5/H6)</f>
        <v>#DIV/0!</v>
      </c>
      <c r="I9" s="52"/>
      <c r="J9" s="52"/>
      <c r="K9" s="54" t="s">
        <v>59</v>
      </c>
      <c r="L9" s="175" t="e">
        <f>INDEX($A$22:$A$102,MATCH(MAX($N$22:$N$102),$N$22:$N$102,0),1)</f>
        <v>#DIV/0!</v>
      </c>
      <c r="O9" s="185"/>
      <c r="P9" s="185" t="s">
        <v>188</v>
      </c>
    </row>
    <row r="10" spans="2:22" ht="15" customHeight="1">
      <c r="B10" s="66" t="s">
        <v>90</v>
      </c>
      <c r="C10" s="180">
        <f>(0.000000001/($H$16*$H$15))*(0.000001)</f>
        <v>5034117008.194227</v>
      </c>
      <c r="D10" s="27" t="s">
        <v>93</v>
      </c>
      <c r="E10" s="68"/>
      <c r="G10" s="55" t="s">
        <v>91</v>
      </c>
      <c r="H10" s="180" t="e">
        <f>C10*(H7/H6)</f>
        <v>#DIV/0!</v>
      </c>
      <c r="I10" s="52"/>
      <c r="J10" s="52"/>
      <c r="K10" s="55" t="s">
        <v>60</v>
      </c>
      <c r="L10" s="177" t="e">
        <f>IF(AND(L9&gt;380,L9&lt;780),L9,"n/a")</f>
        <v>#DIV/0!</v>
      </c>
      <c r="P10" s="215" t="s">
        <v>24</v>
      </c>
      <c r="Q10" s="217">
        <v>0.38</v>
      </c>
      <c r="R10" s="217">
        <v>0.38</v>
      </c>
      <c r="S10" s="217">
        <v>0.4</v>
      </c>
      <c r="T10" s="218" t="s">
        <v>190</v>
      </c>
      <c r="U10" s="217">
        <v>0.3</v>
      </c>
      <c r="V10" s="218" t="s">
        <v>190</v>
      </c>
    </row>
    <row r="11" spans="10:23" ht="15" customHeight="1">
      <c r="J11" s="10"/>
      <c r="K11" s="10"/>
      <c r="L11" s="10"/>
      <c r="N11" s="48"/>
      <c r="O11" s="14"/>
      <c r="P11" s="51"/>
      <c r="Q11" s="51"/>
      <c r="R11" s="51"/>
      <c r="S11" s="51"/>
      <c r="T11" s="51"/>
      <c r="U11" s="77"/>
      <c r="V11" s="51"/>
      <c r="W11" s="14"/>
    </row>
    <row r="12" spans="2:23" ht="15" customHeight="1">
      <c r="B12" s="3" t="s">
        <v>28</v>
      </c>
      <c r="G12" s="3" t="s">
        <v>3</v>
      </c>
      <c r="H12" s="1"/>
      <c r="I12" s="1"/>
      <c r="J12" s="10"/>
      <c r="K12" s="3" t="s">
        <v>61</v>
      </c>
      <c r="L12" s="10"/>
      <c r="M12" s="10"/>
      <c r="N12" s="11"/>
      <c r="O12" s="11"/>
      <c r="P12" s="185" t="s">
        <v>191</v>
      </c>
      <c r="R12" s="51"/>
      <c r="S12" s="51"/>
      <c r="T12" s="51"/>
      <c r="U12" s="77"/>
      <c r="V12" s="51"/>
      <c r="W12" s="11"/>
    </row>
    <row r="13" spans="2:23" ht="15" customHeight="1">
      <c r="B13" s="1" t="s">
        <v>65</v>
      </c>
      <c r="G13" s="1" t="s">
        <v>39</v>
      </c>
      <c r="H13" s="6"/>
      <c r="I13" s="64"/>
      <c r="J13" s="10"/>
      <c r="K13" s="1" t="s">
        <v>40</v>
      </c>
      <c r="N13" s="11"/>
      <c r="O13" s="11"/>
      <c r="P13" s="185" t="s">
        <v>192</v>
      </c>
      <c r="R13" s="12"/>
      <c r="S13" s="12"/>
      <c r="T13" s="12"/>
      <c r="U13" s="25"/>
      <c r="V13" s="12"/>
      <c r="W13" s="11"/>
    </row>
    <row r="14" spans="2:25" ht="15" customHeight="1">
      <c r="B14" s="8" t="s">
        <v>72</v>
      </c>
      <c r="C14" s="8" t="s">
        <v>71</v>
      </c>
      <c r="D14" s="8" t="s">
        <v>74</v>
      </c>
      <c r="G14" s="8" t="s">
        <v>70</v>
      </c>
      <c r="H14" s="8" t="s">
        <v>71</v>
      </c>
      <c r="I14" s="8" t="s">
        <v>74</v>
      </c>
      <c r="J14" s="10"/>
      <c r="K14" s="8" t="s">
        <v>70</v>
      </c>
      <c r="L14" s="8" t="s">
        <v>71</v>
      </c>
      <c r="M14" s="8" t="s">
        <v>79</v>
      </c>
      <c r="N14" s="11"/>
      <c r="O14" s="56"/>
      <c r="P14" s="21" t="s">
        <v>84</v>
      </c>
      <c r="U14" s="78"/>
      <c r="W14" s="56"/>
      <c r="Y14" s="195" t="s">
        <v>100</v>
      </c>
    </row>
    <row r="15" spans="2:23" ht="15" customHeight="1">
      <c r="B15" s="17" t="s">
        <v>13</v>
      </c>
      <c r="C15" s="170">
        <f>Toolbox!D18</f>
        <v>420</v>
      </c>
      <c r="D15" s="8" t="s">
        <v>73</v>
      </c>
      <c r="G15" s="7" t="s">
        <v>198</v>
      </c>
      <c r="H15" s="2">
        <v>6.62606957E-34</v>
      </c>
      <c r="I15" s="1" t="s">
        <v>76</v>
      </c>
      <c r="J15" s="10"/>
      <c r="K15" s="45" t="s">
        <v>37</v>
      </c>
      <c r="L15" s="58">
        <v>1.00028</v>
      </c>
      <c r="M15" s="47" t="s">
        <v>81</v>
      </c>
      <c r="N15" s="11"/>
      <c r="O15" s="56"/>
      <c r="S15" s="5"/>
      <c r="T15" s="6"/>
      <c r="U15" s="4"/>
      <c r="W15" s="56"/>
    </row>
    <row r="16" spans="2:26" ht="15" customHeight="1">
      <c r="B16" s="63" t="s">
        <v>26</v>
      </c>
      <c r="C16" s="169">
        <f>Toolbox!D19</f>
        <v>42</v>
      </c>
      <c r="D16" s="8" t="s">
        <v>73</v>
      </c>
      <c r="G16" s="7" t="s">
        <v>197</v>
      </c>
      <c r="H16" s="2">
        <v>299792458</v>
      </c>
      <c r="I16" s="1" t="s">
        <v>75</v>
      </c>
      <c r="J16" s="10"/>
      <c r="K16" s="15" t="s">
        <v>38</v>
      </c>
      <c r="L16" s="58">
        <f>H16/(L15*540000000000000)/0.000000001</f>
        <v>555.015814090573</v>
      </c>
      <c r="M16" s="47" t="s">
        <v>73</v>
      </c>
      <c r="N16" s="11"/>
      <c r="O16" s="56" t="s">
        <v>82</v>
      </c>
      <c r="P16" s="193" t="s">
        <v>84</v>
      </c>
      <c r="W16" s="56"/>
      <c r="Y16" s="196" t="s">
        <v>144</v>
      </c>
      <c r="Z16" s="56"/>
    </row>
    <row r="17" spans="3:26" ht="15" customHeight="1">
      <c r="C17" s="30" t="s">
        <v>119</v>
      </c>
      <c r="G17" s="7" t="s">
        <v>199</v>
      </c>
      <c r="H17" s="2">
        <f>1.3806488E-23</f>
        <v>1.3806488E-23</v>
      </c>
      <c r="I17" s="1" t="s">
        <v>77</v>
      </c>
      <c r="J17" s="10"/>
      <c r="K17" s="15" t="s">
        <v>41</v>
      </c>
      <c r="L17" s="58">
        <f>683/(1-(1-0.9998567)*(L16-555))</f>
        <v>683.0015477902268</v>
      </c>
      <c r="M17" s="47" t="s">
        <v>80</v>
      </c>
      <c r="N17" s="11"/>
      <c r="O17" s="57" t="s">
        <v>83</v>
      </c>
      <c r="P17" s="193" t="s">
        <v>84</v>
      </c>
      <c r="W17" s="57"/>
      <c r="Y17" s="196" t="str">
        <f>Toolbox!$N$4</f>
        <v>Melanopic</v>
      </c>
      <c r="Z17" s="57"/>
    </row>
    <row r="18" spans="1:26" ht="15" customHeight="1">
      <c r="A18" s="7"/>
      <c r="C18" s="171" t="str">
        <f>IF(Toolbox!D6&lt;&gt;"approximate mode","exact","approx")</f>
        <v>exact</v>
      </c>
      <c r="G18" s="7" t="s">
        <v>200</v>
      </c>
      <c r="H18" s="171">
        <f>Toolbox!D17</f>
        <v>4200</v>
      </c>
      <c r="I18" s="1" t="s">
        <v>78</v>
      </c>
      <c r="J18" s="10"/>
      <c r="K18" s="15" t="s">
        <v>42</v>
      </c>
      <c r="L18" s="58">
        <f>683/(0.402-(0.402-0.3864)*(L16-555))</f>
        <v>1700.048262657675</v>
      </c>
      <c r="M18" s="47" t="s">
        <v>80</v>
      </c>
      <c r="N18" s="11"/>
      <c r="O18" s="57" t="s">
        <v>85</v>
      </c>
      <c r="P18" s="193" t="s">
        <v>84</v>
      </c>
      <c r="W18" s="57"/>
      <c r="Y18" s="194" t="str">
        <f ca="1">OFFSET(Toolbox!G26,MATCH(Y17,Toolbox!D27:D31,0),0)</f>
        <v>z</v>
      </c>
      <c r="Z18" s="57"/>
    </row>
    <row r="19" spans="6:18" ht="15" customHeight="1">
      <c r="F19" s="31"/>
      <c r="Q19" s="13"/>
      <c r="R19" s="13"/>
    </row>
    <row r="20" spans="2:25" ht="15">
      <c r="B20" s="30" t="s">
        <v>36</v>
      </c>
      <c r="C20" s="16"/>
      <c r="D20" s="16"/>
      <c r="E20" s="16"/>
      <c r="F20" s="30" t="s">
        <v>35</v>
      </c>
      <c r="G20" s="25"/>
      <c r="H20" s="25"/>
      <c r="I20" s="25"/>
      <c r="J20" s="25"/>
      <c r="K20" s="25"/>
      <c r="L20" s="25"/>
      <c r="M20" s="30" t="s">
        <v>98</v>
      </c>
      <c r="N20" s="30"/>
      <c r="Q20" s="30" t="s">
        <v>94</v>
      </c>
      <c r="V20" s="30" t="s">
        <v>152</v>
      </c>
      <c r="Y20" s="197" t="s">
        <v>153</v>
      </c>
    </row>
    <row r="21" spans="1:25" s="14" customFormat="1" ht="15.75">
      <c r="A21" s="19" t="s">
        <v>194</v>
      </c>
      <c r="B21" s="19" t="s">
        <v>27</v>
      </c>
      <c r="C21" s="36" t="s">
        <v>0</v>
      </c>
      <c r="D21" s="37" t="s">
        <v>1</v>
      </c>
      <c r="E21" s="44" t="s">
        <v>2</v>
      </c>
      <c r="F21" s="19" t="s">
        <v>4</v>
      </c>
      <c r="G21" s="18" t="s">
        <v>6</v>
      </c>
      <c r="H21" s="18" t="s">
        <v>5</v>
      </c>
      <c r="I21" s="18" t="s">
        <v>25</v>
      </c>
      <c r="J21" s="18" t="s">
        <v>196</v>
      </c>
      <c r="K21" s="198" t="s">
        <v>143</v>
      </c>
      <c r="L21" s="18" t="s">
        <v>27</v>
      </c>
      <c r="M21" s="32" t="s">
        <v>34</v>
      </c>
      <c r="N21" s="20" t="s">
        <v>7</v>
      </c>
      <c r="P21" s="71" t="s">
        <v>194</v>
      </c>
      <c r="Q21" s="18" t="s">
        <v>55</v>
      </c>
      <c r="R21" s="18" t="s">
        <v>56</v>
      </c>
      <c r="S21" s="18" t="s">
        <v>43</v>
      </c>
      <c r="T21" s="198" t="s">
        <v>184</v>
      </c>
      <c r="U21" s="20" t="s">
        <v>57</v>
      </c>
      <c r="V21" s="20" t="s">
        <v>54</v>
      </c>
      <c r="X21" s="32" t="s">
        <v>194</v>
      </c>
      <c r="Y21" s="32" t="str">
        <f aca="true" t="shared" si="1" ref="Y21:Y52">HLOOKUP($Y$18,$Q$21:$U$102,ROW()-20,FALSE)</f>
        <v>z</v>
      </c>
    </row>
    <row r="22" spans="1:25" ht="15">
      <c r="A22" s="22">
        <v>380</v>
      </c>
      <c r="B22" s="38">
        <f aca="true" t="shared" si="2" ref="B22:B53">EXP(-(((A22-$C$15)/($C$16/2))^2*LN(2)))</f>
        <v>0.08087749288487778</v>
      </c>
      <c r="C22" s="33">
        <f>A22/1000000000</f>
        <v>3.8E-07</v>
      </c>
      <c r="D22" s="33">
        <f aca="true" t="shared" si="3" ref="D22:D53">$H$15*H$16/($H$17*$C22*$H$18)</f>
        <v>9.0148932329813</v>
      </c>
      <c r="E22" s="39">
        <f aca="true" t="shared" si="4" ref="E22:E53">(2*H$15*(H$16^2))/((C22^5))*(1/(EXP(D22)-1))</f>
        <v>1827863795776.3423</v>
      </c>
      <c r="F22" s="211">
        <v>0.001024407603262814</v>
      </c>
      <c r="G22" s="211">
        <f aca="true" t="shared" si="5" ref="G22:G53">E22/SUM(E$22:E$102)</f>
        <v>0.00510823329424346</v>
      </c>
      <c r="H22" s="211">
        <v>0.007046024098444329</v>
      </c>
      <c r="I22" s="211">
        <f>1/81</f>
        <v>0.012345679012345678</v>
      </c>
      <c r="J22" s="211">
        <v>0.001531780231618636</v>
      </c>
      <c r="K22" s="211">
        <v>0</v>
      </c>
      <c r="L22" s="211">
        <f>IF(B22/SUM(B$22:B$102)&lt;0.0001,0,B22/SUM(B$22:B$102))</f>
        <v>0.009121860505991317</v>
      </c>
      <c r="M22" s="212" t="e">
        <f>Toolbox!U9/SUM(Toolbox!U$9:U$89)</f>
        <v>#DIV/0!</v>
      </c>
      <c r="N22" s="28" t="e">
        <f>HLOOKUP($C$7,$F$21:$M$102,ROW()-20,FALSE)</f>
        <v>#DIV/0!</v>
      </c>
      <c r="P22" s="72">
        <v>380</v>
      </c>
      <c r="Q22" s="21">
        <f>Reference!C11*5</f>
        <v>3.3883465526667556E-05</v>
      </c>
      <c r="R22" s="21">
        <f>Reference!D11*5</f>
        <v>3.9275815844724886E-05</v>
      </c>
      <c r="S22" s="21">
        <f>Reference!E11*5</f>
        <v>5.150599777339931E-05</v>
      </c>
      <c r="T22" s="21">
        <f>Reference!F11*5</f>
        <v>5.236066941848883E-05</v>
      </c>
      <c r="U22" s="69">
        <f>Reference!G11*5</f>
        <v>0.00048655967132248037</v>
      </c>
      <c r="V22" s="182">
        <f>Reference!H11</f>
        <v>3.9E-05</v>
      </c>
      <c r="X22" s="49">
        <v>380</v>
      </c>
      <c r="Y22" s="172">
        <f t="shared" si="1"/>
        <v>5.236066941848883E-05</v>
      </c>
    </row>
    <row r="23" spans="1:25" ht="15">
      <c r="A23" s="22">
        <v>385</v>
      </c>
      <c r="B23" s="40">
        <f t="shared" si="2"/>
        <v>0.14581612994701457</v>
      </c>
      <c r="C23" s="34">
        <f aca="true" t="shared" si="6" ref="C23:C86">A23/1000000000</f>
        <v>3.85E-07</v>
      </c>
      <c r="D23" s="34">
        <f t="shared" si="3"/>
        <v>8.897816697488036</v>
      </c>
      <c r="E23" s="41">
        <f t="shared" si="4"/>
        <v>1924909957789.8867</v>
      </c>
      <c r="F23" s="211">
        <v>0.0011399202777432969</v>
      </c>
      <c r="G23" s="211">
        <f t="shared" si="5"/>
        <v>0.005379443018415266</v>
      </c>
      <c r="H23" s="211">
        <v>0.007375418023491512</v>
      </c>
      <c r="I23" s="211">
        <f aca="true" t="shared" si="7" ref="I23:I86">1/81</f>
        <v>0.012345679012345678</v>
      </c>
      <c r="J23" s="211">
        <v>0.0010604632372744403</v>
      </c>
      <c r="K23" s="211">
        <v>0</v>
      </c>
      <c r="L23" s="211">
        <f aca="true" t="shared" si="8" ref="L23:L86">IF(B23/SUM(B$22:B$102)&lt;0.0001,0,B23/SUM(B$22:B$102))</f>
        <v>0.016446038934385298</v>
      </c>
      <c r="M23" s="212" t="e">
        <f>Toolbox!U10/SUM(Toolbox!U$9:U$89)</f>
        <v>#DIV/0!</v>
      </c>
      <c r="N23" s="28" t="e">
        <f aca="true" t="shared" si="9" ref="N23:N86">HLOOKUP($C$7,$F$21:$M$102,ROW()-20,FALSE)</f>
        <v>#DIV/0!</v>
      </c>
      <c r="P23" s="72">
        <v>385</v>
      </c>
      <c r="Q23" s="21">
        <f>Reference!C12*5</f>
        <v>5.936542790286655E-05</v>
      </c>
      <c r="R23" s="21">
        <f>Reference!D12*5</f>
        <v>6.792172979248849E-05</v>
      </c>
      <c r="S23" s="21">
        <f>Reference!E12*5</f>
        <v>9.036540531238255E-05</v>
      </c>
      <c r="T23" s="21">
        <f>Reference!F12*5</f>
        <v>9.507842203220987E-05</v>
      </c>
      <c r="U23" s="69">
        <f>Reference!G12*5</f>
        <v>0.0009468972723848785</v>
      </c>
      <c r="V23" s="182">
        <f>Reference!H12</f>
        <v>6.4E-05</v>
      </c>
      <c r="X23" s="49">
        <v>385</v>
      </c>
      <c r="Y23" s="172">
        <f t="shared" si="1"/>
        <v>9.507842203220987E-05</v>
      </c>
    </row>
    <row r="24" spans="1:25" ht="15">
      <c r="A24" s="22">
        <v>390</v>
      </c>
      <c r="B24" s="40">
        <f t="shared" si="2"/>
        <v>0.24302618535723247</v>
      </c>
      <c r="C24" s="34">
        <f t="shared" si="6"/>
        <v>3.9E-07</v>
      </c>
      <c r="D24" s="34">
        <f t="shared" si="3"/>
        <v>8.783742124443316</v>
      </c>
      <c r="E24" s="41">
        <f t="shared" si="4"/>
        <v>2022740468215.949</v>
      </c>
      <c r="F24" s="211">
        <v>0.001263925147033934</v>
      </c>
      <c r="G24" s="211">
        <f t="shared" si="5"/>
        <v>0.005652844719190782</v>
      </c>
      <c r="H24" s="211">
        <v>0.007704826047495381</v>
      </c>
      <c r="I24" s="211">
        <f t="shared" si="7"/>
        <v>0.012345679012345678</v>
      </c>
      <c r="J24" s="211">
        <v>0.0007743064907083215</v>
      </c>
      <c r="K24" s="211">
        <v>0</v>
      </c>
      <c r="L24" s="211">
        <f t="shared" si="8"/>
        <v>0.02740998617856964</v>
      </c>
      <c r="M24" s="212" t="e">
        <f>Toolbox!U11/SUM(Toolbox!U$9:U$89)</f>
        <v>#DIV/0!</v>
      </c>
      <c r="N24" s="28" t="e">
        <f t="shared" si="9"/>
        <v>#DIV/0!</v>
      </c>
      <c r="P24" s="72">
        <v>390</v>
      </c>
      <c r="Q24" s="21">
        <f>Reference!C13*5</f>
        <v>0.00010321677173457302</v>
      </c>
      <c r="R24" s="21">
        <f>Reference!D13*5</f>
        <v>0.00011693268359772348</v>
      </c>
      <c r="S24" s="21">
        <f>Reference!E13*5</f>
        <v>0.00016035146156167482</v>
      </c>
      <c r="T24" s="21">
        <f>Reference!F13*5</f>
        <v>0.00017646683465438205</v>
      </c>
      <c r="U24" s="69">
        <f>Reference!G13*5</f>
        <v>0.0018274144453656897</v>
      </c>
      <c r="V24" s="182">
        <f>Reference!H13</f>
        <v>0.00012</v>
      </c>
      <c r="X24" s="49">
        <v>390</v>
      </c>
      <c r="Y24" s="172">
        <f t="shared" si="1"/>
        <v>0.00017646683465438205</v>
      </c>
    </row>
    <row r="25" spans="1:25" ht="15">
      <c r="A25" s="22">
        <v>395</v>
      </c>
      <c r="B25" s="40">
        <f t="shared" si="2"/>
        <v>0.37442961172073225</v>
      </c>
      <c r="C25" s="34">
        <f t="shared" si="6"/>
        <v>3.95E-07</v>
      </c>
      <c r="D25" s="34">
        <f t="shared" si="3"/>
        <v>8.67255551527315</v>
      </c>
      <c r="E25" s="41">
        <f t="shared" si="4"/>
        <v>2121159259803.6162</v>
      </c>
      <c r="F25" s="211">
        <v>0.001396641836862574</v>
      </c>
      <c r="G25" s="211">
        <f t="shared" si="5"/>
        <v>0.00592789045789901</v>
      </c>
      <c r="H25" s="211">
        <v>0.009686194727401887</v>
      </c>
      <c r="I25" s="211">
        <f t="shared" si="7"/>
        <v>0.012345679012345678</v>
      </c>
      <c r="J25" s="211">
        <v>0.0006228117425262586</v>
      </c>
      <c r="K25" s="211">
        <v>0</v>
      </c>
      <c r="L25" s="211">
        <f t="shared" si="8"/>
        <v>0.04223047186057902</v>
      </c>
      <c r="M25" s="212" t="e">
        <f>Toolbox!U12/SUM(Toolbox!U$9:U$89)</f>
        <v>#DIV/0!</v>
      </c>
      <c r="N25" s="28" t="e">
        <f t="shared" si="9"/>
        <v>#DIV/0!</v>
      </c>
      <c r="P25" s="72">
        <v>395</v>
      </c>
      <c r="Q25" s="21">
        <f>Reference!C14*5</f>
        <v>0.00017822884378675775</v>
      </c>
      <c r="R25" s="21">
        <f>Reference!D14*5</f>
        <v>0.00020093049500229446</v>
      </c>
      <c r="S25" s="21">
        <f>Reference!E14*5</f>
        <v>0.00028923046759385293</v>
      </c>
      <c r="T25" s="21">
        <f>Reference!F14*5</f>
        <v>0.0003353419377685946</v>
      </c>
      <c r="U25" s="69">
        <f>Reference!G14*5</f>
        <v>0.0034927119512258723</v>
      </c>
      <c r="V25" s="182">
        <f>Reference!H14</f>
        <v>0.000217</v>
      </c>
      <c r="X25" s="49">
        <v>395</v>
      </c>
      <c r="Y25" s="172">
        <f t="shared" si="1"/>
        <v>0.0003353419377685946</v>
      </c>
    </row>
    <row r="26" spans="1:25" ht="15">
      <c r="A26" s="22">
        <v>400</v>
      </c>
      <c r="B26" s="40">
        <f t="shared" si="2"/>
        <v>0.5332819938015289</v>
      </c>
      <c r="C26" s="34">
        <f t="shared" si="6"/>
        <v>4E-07</v>
      </c>
      <c r="D26" s="34">
        <f t="shared" si="3"/>
        <v>8.564148571332234</v>
      </c>
      <c r="E26" s="41">
        <f t="shared" si="4"/>
        <v>2219973816305.1255</v>
      </c>
      <c r="F26" s="211">
        <v>0.001538216764381116</v>
      </c>
      <c r="G26" s="211">
        <f t="shared" si="5"/>
        <v>0.006204042219667739</v>
      </c>
      <c r="H26" s="211">
        <v>0.011667577506265082</v>
      </c>
      <c r="I26" s="211">
        <f t="shared" si="7"/>
        <v>0.012345679012345678</v>
      </c>
      <c r="J26" s="211">
        <v>0.0021714247239429016</v>
      </c>
      <c r="K26" s="211">
        <v>0</v>
      </c>
      <c r="L26" s="211">
        <f t="shared" si="8"/>
        <v>0.060146819396821656</v>
      </c>
      <c r="M26" s="212" t="e">
        <f>Toolbox!U13/SUM(Toolbox!U$9:U$89)</f>
        <v>#DIV/0!</v>
      </c>
      <c r="N26" s="28" t="e">
        <f t="shared" si="9"/>
        <v>#DIV/0!</v>
      </c>
      <c r="P26" s="72">
        <v>400</v>
      </c>
      <c r="Q26" s="21">
        <f>Reference!C15*5</f>
        <v>0.00030598587257452174</v>
      </c>
      <c r="R26" s="21">
        <f>Reference!D15*5</f>
        <v>0.00034579900085818065</v>
      </c>
      <c r="S26" s="21">
        <f>Reference!E15*5</f>
        <v>0.0005322787012444027</v>
      </c>
      <c r="T26" s="21">
        <f>Reference!F15*5</f>
        <v>0.0006516935632405857</v>
      </c>
      <c r="U26" s="69">
        <f>Reference!G15*5</f>
        <v>0.006606432663924319</v>
      </c>
      <c r="V26" s="182">
        <f>Reference!H15</f>
        <v>0.000396</v>
      </c>
      <c r="X26" s="49">
        <v>400</v>
      </c>
      <c r="Y26" s="172">
        <f t="shared" si="1"/>
        <v>0.0006516935632405857</v>
      </c>
    </row>
    <row r="27" spans="1:25" ht="15">
      <c r="A27" s="22">
        <v>405</v>
      </c>
      <c r="B27" s="40">
        <f t="shared" si="2"/>
        <v>0.7021231094858295</v>
      </c>
      <c r="C27" s="34">
        <f t="shared" si="6"/>
        <v>4.05E-07</v>
      </c>
      <c r="D27" s="34">
        <f t="shared" si="3"/>
        <v>8.458418342056529</v>
      </c>
      <c r="E27" s="41">
        <f t="shared" si="4"/>
        <v>2318995960184.9824</v>
      </c>
      <c r="F27" s="211">
        <v>0.001688817263477445</v>
      </c>
      <c r="G27" s="211">
        <f t="shared" si="5"/>
        <v>0.006480774114792131</v>
      </c>
      <c r="H27" s="211">
        <v>0.012283067460377772</v>
      </c>
      <c r="I27" s="211">
        <f t="shared" si="7"/>
        <v>0.012345679012345678</v>
      </c>
      <c r="J27" s="211">
        <v>0.021343926743872862</v>
      </c>
      <c r="K27" s="211">
        <v>1.524347487814366E-05</v>
      </c>
      <c r="L27" s="211">
        <f t="shared" si="8"/>
        <v>0.07918975767311563</v>
      </c>
      <c r="M27" s="212" t="e">
        <f>Toolbox!U14/SUM(Toolbox!U$9:U$89)</f>
        <v>#DIV/0!</v>
      </c>
      <c r="N27" s="28" t="e">
        <f t="shared" si="9"/>
        <v>#DIV/0!</v>
      </c>
      <c r="P27" s="72">
        <v>405</v>
      </c>
      <c r="Q27" s="21">
        <f>Reference!C16*5</f>
        <v>0.0005273514286653295</v>
      </c>
      <c r="R27" s="21">
        <f>Reference!D16*5</f>
        <v>0.000603390693213793</v>
      </c>
      <c r="S27" s="21">
        <f>Reference!E16*5</f>
        <v>0.0010090691852865587</v>
      </c>
      <c r="T27" s="21">
        <f>Reference!F16*5</f>
        <v>0.0013008676073805766</v>
      </c>
      <c r="U27" s="69">
        <f>Reference!G16*5</f>
        <v>0.012461435067408388</v>
      </c>
      <c r="V27" s="182">
        <f>Reference!H16</f>
        <v>0.00064</v>
      </c>
      <c r="X27" s="49">
        <v>405</v>
      </c>
      <c r="Y27" s="172">
        <f t="shared" si="1"/>
        <v>0.0013008676073805766</v>
      </c>
    </row>
    <row r="28" spans="1:25" ht="15">
      <c r="A28" s="22">
        <v>410</v>
      </c>
      <c r="B28" s="40">
        <f t="shared" si="2"/>
        <v>0.8545534463798685</v>
      </c>
      <c r="C28" s="34">
        <f t="shared" si="6"/>
        <v>4.1E-07</v>
      </c>
      <c r="D28" s="34">
        <f t="shared" si="3"/>
        <v>8.355266898860718</v>
      </c>
      <c r="E28" s="41">
        <f t="shared" si="4"/>
        <v>2418042549555.543</v>
      </c>
      <c r="F28" s="211">
        <v>0.001848547917831489</v>
      </c>
      <c r="G28" s="211">
        <f t="shared" si="5"/>
        <v>0.006757574326423362</v>
      </c>
      <c r="H28" s="211">
        <v>0.012898571513447147</v>
      </c>
      <c r="I28" s="211">
        <f t="shared" si="7"/>
        <v>0.012345679012345678</v>
      </c>
      <c r="J28" s="211">
        <v>0.0026764072178831113</v>
      </c>
      <c r="K28" s="211">
        <v>3.646239190851963E-05</v>
      </c>
      <c r="L28" s="211">
        <f t="shared" si="8"/>
        <v>0.09638178750034916</v>
      </c>
      <c r="M28" s="212" t="e">
        <f>Toolbox!U15/SUM(Toolbox!U$9:U$89)</f>
        <v>#DIV/0!</v>
      </c>
      <c r="N28" s="28" t="e">
        <f t="shared" si="9"/>
        <v>#DIV/0!</v>
      </c>
      <c r="P28" s="72">
        <v>410</v>
      </c>
      <c r="Q28" s="21">
        <f>Reference!C17*5</f>
        <v>0.0009069929370027964</v>
      </c>
      <c r="R28" s="21">
        <f>Reference!D17*5</f>
        <v>0.0010640194132361302</v>
      </c>
      <c r="S28" s="21">
        <f>Reference!E17*5</f>
        <v>0.0019525317776890997</v>
      </c>
      <c r="T28" s="21">
        <f>Reference!F17*5</f>
        <v>0.002632104309221218</v>
      </c>
      <c r="U28" s="69">
        <f>Reference!G17*5</f>
        <v>0.023243470777415752</v>
      </c>
      <c r="V28" s="182">
        <f>Reference!H17</f>
        <v>0.00121</v>
      </c>
      <c r="X28" s="49">
        <v>410</v>
      </c>
      <c r="Y28" s="172">
        <f t="shared" si="1"/>
        <v>0.002632104309221218</v>
      </c>
    </row>
    <row r="29" spans="1:25" ht="15">
      <c r="A29" s="22">
        <v>415</v>
      </c>
      <c r="B29" s="40">
        <f t="shared" si="2"/>
        <v>0.9614679403731403</v>
      </c>
      <c r="C29" s="34">
        <f t="shared" si="6"/>
        <v>4.15E-07</v>
      </c>
      <c r="D29" s="34">
        <f t="shared" si="3"/>
        <v>8.254601032609383</v>
      </c>
      <c r="E29" s="41">
        <f t="shared" si="4"/>
        <v>2516936087110.0303</v>
      </c>
      <c r="F29" s="211">
        <v>0.0020174923943871905</v>
      </c>
      <c r="G29" s="211">
        <f t="shared" si="5"/>
        <v>0.0070339468123211905</v>
      </c>
      <c r="H29" s="211">
        <v>0.013035740263041978</v>
      </c>
      <c r="I29" s="211">
        <f t="shared" si="7"/>
        <v>0.012345679012345678</v>
      </c>
      <c r="J29" s="211">
        <v>0.0030130622138432508</v>
      </c>
      <c r="K29" s="211">
        <v>8.804631089615778E-05</v>
      </c>
      <c r="L29" s="211">
        <f t="shared" si="8"/>
        <v>0.10844026094565576</v>
      </c>
      <c r="M29" s="212" t="e">
        <f>Toolbox!U16/SUM(Toolbox!U$9:U$89)</f>
        <v>#DIV/0!</v>
      </c>
      <c r="N29" s="28" t="e">
        <f t="shared" si="9"/>
        <v>#DIV/0!</v>
      </c>
      <c r="P29" s="72">
        <v>415</v>
      </c>
      <c r="Q29" s="21">
        <f>Reference!C18*5</f>
        <v>0.001318076448128919</v>
      </c>
      <c r="R29" s="21">
        <f>Reference!D18*5</f>
        <v>0.001608730522943807</v>
      </c>
      <c r="S29" s="21">
        <f>Reference!E18*5</f>
        <v>0.0032445458470227754</v>
      </c>
      <c r="T29" s="21">
        <f>Reference!F18*5</f>
        <v>0.004532353375996246</v>
      </c>
      <c r="U29" s="69">
        <f>Reference!G18*5</f>
        <v>0.03617651028855707</v>
      </c>
      <c r="V29" s="182">
        <f>Reference!H18</f>
        <v>0.00218</v>
      </c>
      <c r="X29" s="49">
        <v>415</v>
      </c>
      <c r="Y29" s="172">
        <f t="shared" si="1"/>
        <v>0.004532353375996246</v>
      </c>
    </row>
    <row r="30" spans="1:25" ht="15">
      <c r="A30" s="22">
        <v>420</v>
      </c>
      <c r="B30" s="40">
        <f t="shared" si="2"/>
        <v>1</v>
      </c>
      <c r="C30" s="34">
        <f t="shared" si="6"/>
        <v>4.2E-07</v>
      </c>
      <c r="D30" s="34">
        <f t="shared" si="3"/>
        <v>8.156331972697366</v>
      </c>
      <c r="E30" s="41">
        <f t="shared" si="4"/>
        <v>2615505244479.5654</v>
      </c>
      <c r="F30" s="211">
        <v>0.0021957343600884915</v>
      </c>
      <c r="G30" s="211">
        <f t="shared" si="5"/>
        <v>0.007309412770246533</v>
      </c>
      <c r="H30" s="211">
        <v>0.013172909012636808</v>
      </c>
      <c r="I30" s="211">
        <f t="shared" si="7"/>
        <v>0.012345679012345678</v>
      </c>
      <c r="J30" s="211">
        <v>0.004140856450309719</v>
      </c>
      <c r="K30" s="211">
        <v>0.00021426228288718728</v>
      </c>
      <c r="L30" s="211">
        <f t="shared" si="8"/>
        <v>0.11278614334615328</v>
      </c>
      <c r="M30" s="212" t="e">
        <f>Toolbox!U17/SUM(Toolbox!U$9:U$89)</f>
        <v>#DIV/0!</v>
      </c>
      <c r="N30" s="28" t="e">
        <f t="shared" si="9"/>
        <v>#DIV/0!</v>
      </c>
      <c r="P30" s="72">
        <v>420</v>
      </c>
      <c r="Q30" s="21">
        <f>Reference!C19*5</f>
        <v>0.0019237870858203052</v>
      </c>
      <c r="R30" s="21">
        <f>Reference!D19*5</f>
        <v>0.0024802101550633346</v>
      </c>
      <c r="S30" s="21">
        <f>Reference!E19*5</f>
        <v>0.005456736890239617</v>
      </c>
      <c r="T30" s="21">
        <f>Reference!F19*5</f>
        <v>0.007826303926371663</v>
      </c>
      <c r="U30" s="69">
        <f>Reference!G19*5</f>
        <v>0.055598621703417596</v>
      </c>
      <c r="V30" s="182">
        <f>Reference!H19</f>
        <v>0.004</v>
      </c>
      <c r="X30" s="49">
        <v>420</v>
      </c>
      <c r="Y30" s="172">
        <f t="shared" si="1"/>
        <v>0.007826303926371663</v>
      </c>
    </row>
    <row r="31" spans="1:25" ht="15">
      <c r="A31" s="22">
        <v>425</v>
      </c>
      <c r="B31" s="40">
        <f t="shared" si="2"/>
        <v>0.9614679403731403</v>
      </c>
      <c r="C31" s="34">
        <f t="shared" si="6"/>
        <v>4.25E-07</v>
      </c>
      <c r="D31" s="34">
        <f t="shared" si="3"/>
        <v>8.06037512595975</v>
      </c>
      <c r="E31" s="41">
        <f t="shared" si="4"/>
        <v>2713585305955.1504</v>
      </c>
      <c r="F31" s="211">
        <v>0.002383284273303385</v>
      </c>
      <c r="G31" s="211">
        <f t="shared" si="5"/>
        <v>0.007583511878007586</v>
      </c>
      <c r="H31" s="211">
        <v>0.012697097422409</v>
      </c>
      <c r="I31" s="211">
        <f t="shared" si="7"/>
        <v>0.012345679012345678</v>
      </c>
      <c r="J31" s="211">
        <v>0.005605305682736327</v>
      </c>
      <c r="K31" s="211">
        <v>0.0005221804754256892</v>
      </c>
      <c r="L31" s="211">
        <f t="shared" si="8"/>
        <v>0.10844026094565576</v>
      </c>
      <c r="M31" s="212" t="e">
        <f>Toolbox!U18/SUM(Toolbox!U$9:U$89)</f>
        <v>#DIV/0!</v>
      </c>
      <c r="N31" s="28" t="e">
        <f t="shared" si="9"/>
        <v>#DIV/0!</v>
      </c>
      <c r="P31" s="72">
        <v>425</v>
      </c>
      <c r="Q31" s="21">
        <f>Reference!C20*5</f>
        <v>0.002239132893530035</v>
      </c>
      <c r="R31" s="21">
        <f>Reference!D20*5</f>
        <v>0.0030906429401356727</v>
      </c>
      <c r="S31" s="21">
        <f>Reference!E20*5</f>
        <v>0.007304695054806524</v>
      </c>
      <c r="T31" s="21">
        <f>Reference!F20*5</f>
        <v>0.01066963948837872</v>
      </c>
      <c r="U31" s="69">
        <f>Reference!G20*5</f>
        <v>0.06662587657684697</v>
      </c>
      <c r="V31" s="182">
        <f>Reference!H20</f>
        <v>0.0073</v>
      </c>
      <c r="X31" s="49">
        <v>425</v>
      </c>
      <c r="Y31" s="172">
        <f t="shared" si="1"/>
        <v>0.01066963948837872</v>
      </c>
    </row>
    <row r="32" spans="1:25" ht="15">
      <c r="A32" s="22">
        <v>430</v>
      </c>
      <c r="B32" s="40">
        <f t="shared" si="2"/>
        <v>0.8545534463798685</v>
      </c>
      <c r="C32" s="34">
        <f t="shared" si="6"/>
        <v>4.3E-07</v>
      </c>
      <c r="D32" s="34">
        <f t="shared" si="3"/>
        <v>7.966649833797428</v>
      </c>
      <c r="E32" s="41">
        <f t="shared" si="4"/>
        <v>2811018535903.9795</v>
      </c>
      <c r="F32" s="211">
        <v>0.0025801735091358496</v>
      </c>
      <c r="G32" s="211">
        <f t="shared" si="5"/>
        <v>0.007855803320258564</v>
      </c>
      <c r="H32" s="211">
        <v>0.012221299931137875</v>
      </c>
      <c r="I32" s="211">
        <f t="shared" si="7"/>
        <v>0.012345679012345678</v>
      </c>
      <c r="J32" s="211">
        <v>0.007557904659305138</v>
      </c>
      <c r="K32" s="211">
        <v>0.0012583793381405154</v>
      </c>
      <c r="L32" s="211">
        <f t="shared" si="8"/>
        <v>0.09638178750034916</v>
      </c>
      <c r="M32" s="212" t="e">
        <f>Toolbox!U19/SUM(Toolbox!U$9:U$89)</f>
        <v>#DIV/0!</v>
      </c>
      <c r="N32" s="28" t="e">
        <f t="shared" si="9"/>
        <v>#DIV/0!</v>
      </c>
      <c r="P32" s="72">
        <v>430</v>
      </c>
      <c r="Q32" s="21">
        <f>Reference!C21*5</f>
        <v>0.0026404714938785302</v>
      </c>
      <c r="R32" s="21">
        <f>Reference!D21*5</f>
        <v>0.003937898909863819</v>
      </c>
      <c r="S32" s="21">
        <f>Reference!E21*5</f>
        <v>0.009795311972685995</v>
      </c>
      <c r="T32" s="21">
        <f>Reference!F21*5</f>
        <v>0.014477301517108798</v>
      </c>
      <c r="U32" s="69">
        <f>Reference!G21*5</f>
        <v>0.07859160847528623</v>
      </c>
      <c r="V32" s="182">
        <f>Reference!H21</f>
        <v>0.0116</v>
      </c>
      <c r="X32" s="49">
        <v>430</v>
      </c>
      <c r="Y32" s="172">
        <f t="shared" si="1"/>
        <v>0.014477301517108798</v>
      </c>
    </row>
    <row r="33" spans="1:25" ht="15">
      <c r="A33" s="22">
        <v>435</v>
      </c>
      <c r="B33" s="40">
        <f t="shared" si="2"/>
        <v>0.7021231094858295</v>
      </c>
      <c r="C33" s="34">
        <f t="shared" si="6"/>
        <v>4.35E-07</v>
      </c>
      <c r="D33" s="34">
        <f t="shared" si="3"/>
        <v>7.875079146052629</v>
      </c>
      <c r="E33" s="41">
        <f t="shared" si="4"/>
        <v>2907654474486.067</v>
      </c>
      <c r="F33" s="211">
        <v>0.0027863706924819067</v>
      </c>
      <c r="G33" s="211">
        <f t="shared" si="5"/>
        <v>0.008125866614923156</v>
      </c>
      <c r="H33" s="211">
        <v>0.013503078380301703</v>
      </c>
      <c r="I33" s="211">
        <f t="shared" si="7"/>
        <v>0.012345679012345678</v>
      </c>
      <c r="J33" s="211">
        <v>0.057130352814435716</v>
      </c>
      <c r="K33" s="211">
        <v>0.002935771313731444</v>
      </c>
      <c r="L33" s="211">
        <f t="shared" si="8"/>
        <v>0.07918975767311563</v>
      </c>
      <c r="M33" s="212" t="e">
        <f>Toolbox!U20/SUM(Toolbox!U$9:U$89)</f>
        <v>#DIV/0!</v>
      </c>
      <c r="N33" s="28" t="e">
        <f t="shared" si="9"/>
        <v>#DIV/0!</v>
      </c>
      <c r="P33" s="72">
        <v>435</v>
      </c>
      <c r="Q33" s="21">
        <f>Reference!C22*5</f>
        <v>0.002970513183317755</v>
      </c>
      <c r="R33" s="21">
        <f>Reference!D22*5</f>
        <v>0.004799718225743364</v>
      </c>
      <c r="S33" s="21">
        <f>Reference!E22*5</f>
        <v>0.012286731753224606</v>
      </c>
      <c r="T33" s="21">
        <f>Reference!F22*5</f>
        <v>0.018287551125279234</v>
      </c>
      <c r="U33" s="69">
        <f>Reference!G22*5</f>
        <v>0.0853587589332028</v>
      </c>
      <c r="V33" s="182">
        <f>Reference!H22</f>
        <v>0.01684</v>
      </c>
      <c r="X33" s="49">
        <v>435</v>
      </c>
      <c r="Y33" s="172">
        <f t="shared" si="1"/>
        <v>0.018287551125279234</v>
      </c>
    </row>
    <row r="34" spans="1:25" ht="15">
      <c r="A34" s="22">
        <v>440</v>
      </c>
      <c r="B34" s="40">
        <f t="shared" si="2"/>
        <v>0.5332819938015289</v>
      </c>
      <c r="C34" s="34">
        <f t="shared" si="6"/>
        <v>4.4E-07</v>
      </c>
      <c r="D34" s="34">
        <f t="shared" si="3"/>
        <v>7.785589610302031</v>
      </c>
      <c r="E34" s="41">
        <f t="shared" si="4"/>
        <v>3003350166455.799</v>
      </c>
      <c r="F34" s="211">
        <v>0.0030018339898695854</v>
      </c>
      <c r="G34" s="211">
        <f t="shared" si="5"/>
        <v>0.008393302252614</v>
      </c>
      <c r="H34" s="211">
        <v>0.014784870928422216</v>
      </c>
      <c r="I34" s="211">
        <f t="shared" si="7"/>
        <v>0.012345679012345678</v>
      </c>
      <c r="J34" s="211">
        <v>0.020418125504982478</v>
      </c>
      <c r="K34" s="211">
        <v>0.006443843648287912</v>
      </c>
      <c r="L34" s="211">
        <f t="shared" si="8"/>
        <v>0.060146819396821656</v>
      </c>
      <c r="M34" s="212" t="e">
        <f>Toolbox!U21/SUM(Toolbox!U$9:U$89)</f>
        <v>#DIV/0!</v>
      </c>
      <c r="N34" s="28" t="e">
        <f t="shared" si="9"/>
        <v>#DIV/0!</v>
      </c>
      <c r="P34" s="72">
        <v>440</v>
      </c>
      <c r="Q34" s="21">
        <f>Reference!C23*5</f>
        <v>0.003411659167234123</v>
      </c>
      <c r="R34" s="21">
        <f>Reference!D23*5</f>
        <v>0.0059454977248536815</v>
      </c>
      <c r="S34" s="21">
        <f>Reference!E23*5</f>
        <v>0.015331049479037996</v>
      </c>
      <c r="T34" s="21">
        <f>Reference!F23*5</f>
        <v>0.022901509959520013</v>
      </c>
      <c r="U34" s="69">
        <f>Reference!G23*5</f>
        <v>0.09078532454571933</v>
      </c>
      <c r="V34" s="182">
        <f>Reference!H23</f>
        <v>0.023</v>
      </c>
      <c r="X34" s="49">
        <v>440</v>
      </c>
      <c r="Y34" s="172">
        <f t="shared" si="1"/>
        <v>0.022901509959520013</v>
      </c>
    </row>
    <row r="35" spans="1:25" ht="15">
      <c r="A35" s="22">
        <v>445</v>
      </c>
      <c r="B35" s="40">
        <f t="shared" si="2"/>
        <v>0.37442961172073225</v>
      </c>
      <c r="C35" s="34">
        <f t="shared" si="6"/>
        <v>4.45E-07</v>
      </c>
      <c r="D35" s="34">
        <f t="shared" si="3"/>
        <v>7.698111075354818</v>
      </c>
      <c r="E35" s="41">
        <f t="shared" si="4"/>
        <v>3097970327926.968</v>
      </c>
      <c r="F35" s="211">
        <v>0.0032264901927229355</v>
      </c>
      <c r="G35" s="211">
        <f t="shared" si="5"/>
        <v>0.008657732162682013</v>
      </c>
      <c r="H35" s="211">
        <v>0.01564081858880892</v>
      </c>
      <c r="I35" s="211">
        <f t="shared" si="7"/>
        <v>0.012345679012345678</v>
      </c>
      <c r="J35" s="211">
        <v>0.011698761109614857</v>
      </c>
      <c r="K35" s="211">
        <v>0.012877199785859663</v>
      </c>
      <c r="L35" s="211">
        <f t="shared" si="8"/>
        <v>0.04223047186057902</v>
      </c>
      <c r="M35" s="212" t="e">
        <f>Toolbox!U22/SUM(Toolbox!U$9:U$89)</f>
        <v>#DIV/0!</v>
      </c>
      <c r="N35" s="28" t="e">
        <f t="shared" si="9"/>
        <v>#DIV/0!</v>
      </c>
      <c r="P35" s="72">
        <v>445</v>
      </c>
      <c r="Q35" s="21">
        <f>Reference!C24*5</f>
        <v>0.003813009946219363</v>
      </c>
      <c r="R35" s="21">
        <f>Reference!D24*5</f>
        <v>0.007088471448634686</v>
      </c>
      <c r="S35" s="21">
        <f>Reference!E24*5</f>
        <v>0.0180747086472381</v>
      </c>
      <c r="T35" s="21">
        <f>Reference!F24*5</f>
        <v>0.027031173566195</v>
      </c>
      <c r="U35" s="69">
        <f>Reference!G24*5</f>
        <v>0.08968357670554288</v>
      </c>
      <c r="V35" s="182">
        <f>Reference!H24</f>
        <v>0.0298</v>
      </c>
      <c r="X35" s="49">
        <v>445</v>
      </c>
      <c r="Y35" s="172">
        <f t="shared" si="1"/>
        <v>0.027031173566195</v>
      </c>
    </row>
    <row r="36" spans="1:25" ht="15">
      <c r="A36" s="22">
        <v>450</v>
      </c>
      <c r="B36" s="40">
        <f t="shared" si="2"/>
        <v>0.24302618535723247</v>
      </c>
      <c r="C36" s="34">
        <f t="shared" si="6"/>
        <v>4.5E-07</v>
      </c>
      <c r="D36" s="34">
        <f t="shared" si="3"/>
        <v>7.612576507850876</v>
      </c>
      <c r="E36" s="41">
        <f t="shared" si="4"/>
        <v>3191387456000.94</v>
      </c>
      <c r="F36" s="211">
        <v>0.0034602451757300224</v>
      </c>
      <c r="G36" s="211">
        <f t="shared" si="5"/>
        <v>0.008918800019588382</v>
      </c>
      <c r="H36" s="211">
        <v>0.016496907238762473</v>
      </c>
      <c r="I36" s="211">
        <f t="shared" si="7"/>
        <v>0.012345679012345678</v>
      </c>
      <c r="J36" s="211">
        <v>0.012102747104767025</v>
      </c>
      <c r="K36" s="211">
        <v>0.02262180451036129</v>
      </c>
      <c r="L36" s="211">
        <f t="shared" si="8"/>
        <v>0.02740998617856964</v>
      </c>
      <c r="M36" s="212" t="e">
        <f>Toolbox!U23/SUM(Toolbox!U$9:U$89)</f>
        <v>#DIV/0!</v>
      </c>
      <c r="N36" s="28" t="e">
        <f t="shared" si="9"/>
        <v>#DIV/0!</v>
      </c>
      <c r="P36" s="72">
        <v>450</v>
      </c>
      <c r="Q36" s="21">
        <f>Reference!C25*5</f>
        <v>0.0043550733202197</v>
      </c>
      <c r="R36" s="21">
        <f>Reference!D25*5</f>
        <v>0.008504344335913353</v>
      </c>
      <c r="S36" s="21">
        <f>Reference!E25*5</f>
        <v>0.021131886395999916</v>
      </c>
      <c r="T36" s="21">
        <f>Reference!F25*5</f>
        <v>0.03157700025056025</v>
      </c>
      <c r="U36" s="69">
        <f>Reference!G25*5</f>
        <v>0.08612884993137224</v>
      </c>
      <c r="V36" s="182">
        <f>Reference!H25</f>
        <v>0.038</v>
      </c>
      <c r="X36" s="49">
        <v>450</v>
      </c>
      <c r="Y36" s="172">
        <f t="shared" si="1"/>
        <v>0.03157700025056025</v>
      </c>
    </row>
    <row r="37" spans="1:25" ht="15">
      <c r="A37" s="22">
        <v>455</v>
      </c>
      <c r="B37" s="40">
        <f t="shared" si="2"/>
        <v>0.14581612994701457</v>
      </c>
      <c r="C37" s="34">
        <f t="shared" si="6"/>
        <v>4.55E-07</v>
      </c>
      <c r="D37" s="34">
        <f t="shared" si="3"/>
        <v>7.528921820951415</v>
      </c>
      <c r="E37" s="41">
        <f t="shared" si="4"/>
        <v>3283481886117.6655</v>
      </c>
      <c r="F37" s="211">
        <v>0.0037029734384749317</v>
      </c>
      <c r="G37" s="211">
        <f t="shared" si="5"/>
        <v>0.009176171403180356</v>
      </c>
      <c r="H37" s="211">
        <v>0.016553585044638844</v>
      </c>
      <c r="I37" s="211">
        <f t="shared" si="7"/>
        <v>0.012345679012345678</v>
      </c>
      <c r="J37" s="211">
        <v>0.011984917856180976</v>
      </c>
      <c r="K37" s="211">
        <v>0.03371027398012007</v>
      </c>
      <c r="L37" s="211">
        <f t="shared" si="8"/>
        <v>0.016446038934385298</v>
      </c>
      <c r="M37" s="212" t="e">
        <f>Toolbox!U24/SUM(Toolbox!U$9:U$89)</f>
        <v>#DIV/0!</v>
      </c>
      <c r="N37" s="28" t="e">
        <f t="shared" si="9"/>
        <v>#DIV/0!</v>
      </c>
      <c r="P37" s="72">
        <v>455</v>
      </c>
      <c r="Q37" s="21">
        <f>Reference!C26*5</f>
        <v>0.004989183488908883</v>
      </c>
      <c r="R37" s="21">
        <f>Reference!D26*5</f>
        <v>0.010058071462945892</v>
      </c>
      <c r="S37" s="21">
        <f>Reference!E26*5</f>
        <v>0.024096120102463738</v>
      </c>
      <c r="T37" s="21">
        <f>Reference!F26*5</f>
        <v>0.035907595750092405</v>
      </c>
      <c r="U37" s="69">
        <f>Reference!G26*5</f>
        <v>0.0787770290828607</v>
      </c>
      <c r="V37" s="182">
        <f>Reference!H26</f>
        <v>0.048</v>
      </c>
      <c r="X37" s="49">
        <v>455</v>
      </c>
      <c r="Y37" s="172">
        <f t="shared" si="1"/>
        <v>0.035907595750092405</v>
      </c>
    </row>
    <row r="38" spans="1:25" ht="15">
      <c r="A38" s="22">
        <v>460</v>
      </c>
      <c r="B38" s="40">
        <f t="shared" si="2"/>
        <v>0.08087749288487778</v>
      </c>
      <c r="C38" s="34">
        <f t="shared" si="6"/>
        <v>4.6E-07</v>
      </c>
      <c r="D38" s="34">
        <f t="shared" si="3"/>
        <v>7.447085714201943</v>
      </c>
      <c r="E38" s="41">
        <f t="shared" si="4"/>
        <v>3374141801898.121</v>
      </c>
      <c r="F38" s="211">
        <v>0.003954528563805766</v>
      </c>
      <c r="G38" s="211">
        <f t="shared" si="5"/>
        <v>0.009429533826197404</v>
      </c>
      <c r="H38" s="211">
        <v>0.016610262850515218</v>
      </c>
      <c r="I38" s="211">
        <f t="shared" si="7"/>
        <v>0.012345679012345678</v>
      </c>
      <c r="J38" s="211">
        <v>0.011311607864260696</v>
      </c>
      <c r="K38" s="211">
        <v>0.041170064742086496</v>
      </c>
      <c r="L38" s="211">
        <f t="shared" si="8"/>
        <v>0.009121860505991317</v>
      </c>
      <c r="M38" s="212" t="e">
        <f>Toolbox!U25/SUM(Toolbox!U$9:U$89)</f>
        <v>#DIV/0!</v>
      </c>
      <c r="N38" s="28" t="e">
        <f t="shared" si="9"/>
        <v>#DIV/0!</v>
      </c>
      <c r="P38" s="72">
        <v>460</v>
      </c>
      <c r="Q38" s="21">
        <f>Reference!C27*5</f>
        <v>0.005802678934436548</v>
      </c>
      <c r="R38" s="21">
        <f>Reference!D27*5</f>
        <v>0.011874107700838077</v>
      </c>
      <c r="S38" s="21">
        <f>Reference!E27*5</f>
        <v>0.02723081190849701</v>
      </c>
      <c r="T38" s="21">
        <f>Reference!F27*5</f>
        <v>0.04037824808032507</v>
      </c>
      <c r="U38" s="69">
        <f>Reference!G27*5</f>
        <v>0.06939656322985557</v>
      </c>
      <c r="V38" s="182">
        <f>Reference!H27</f>
        <v>0.06</v>
      </c>
      <c r="X38" s="49">
        <v>460</v>
      </c>
      <c r="Y38" s="172">
        <f t="shared" si="1"/>
        <v>0.04037824808032507</v>
      </c>
    </row>
    <row r="39" spans="1:25" ht="15">
      <c r="A39" s="22">
        <v>465</v>
      </c>
      <c r="B39" s="40">
        <f t="shared" si="2"/>
        <v>0.04146860325085489</v>
      </c>
      <c r="C39" s="34">
        <f t="shared" si="6"/>
        <v>4.65E-07</v>
      </c>
      <c r="D39" s="34">
        <f t="shared" si="3"/>
        <v>7.367009523726653</v>
      </c>
      <c r="E39" s="41">
        <f t="shared" si="4"/>
        <v>3463263202114.122</v>
      </c>
      <c r="F39" s="211">
        <v>0.0042147432178346374</v>
      </c>
      <c r="G39" s="211">
        <f t="shared" si="5"/>
        <v>0.009678596641963506</v>
      </c>
      <c r="H39" s="211">
        <v>0.016402162249834807</v>
      </c>
      <c r="I39" s="211">
        <f t="shared" si="7"/>
        <v>0.012345679012345678</v>
      </c>
      <c r="J39" s="211">
        <v>0.010318475626178283</v>
      </c>
      <c r="K39" s="211">
        <v>0.04014484959568207</v>
      </c>
      <c r="L39" s="211">
        <f t="shared" si="8"/>
        <v>0.004677083830615678</v>
      </c>
      <c r="M39" s="212" t="e">
        <f>Toolbox!U26/SUM(Toolbox!U$9:U$89)</f>
        <v>#DIV/0!</v>
      </c>
      <c r="N39" s="28" t="e">
        <f t="shared" si="9"/>
        <v>#DIV/0!</v>
      </c>
      <c r="P39" s="72">
        <v>465</v>
      </c>
      <c r="Q39" s="21">
        <f>Reference!C28*5</f>
        <v>0.006804103534280393</v>
      </c>
      <c r="R39" s="21">
        <f>Reference!D28*5</f>
        <v>0.013922635750794221</v>
      </c>
      <c r="S39" s="21">
        <f>Reference!E28*5</f>
        <v>0.030433951934599753</v>
      </c>
      <c r="T39" s="21">
        <f>Reference!F28*5</f>
        <v>0.044778921730832075</v>
      </c>
      <c r="U39" s="69">
        <f>Reference!G28*5</f>
        <v>0.058448853501157354</v>
      </c>
      <c r="V39" s="182">
        <f>Reference!H28</f>
        <v>0.0739</v>
      </c>
      <c r="X39" s="49">
        <v>465</v>
      </c>
      <c r="Y39" s="172">
        <f t="shared" si="1"/>
        <v>0.044778921730832075</v>
      </c>
    </row>
    <row r="40" spans="1:25" ht="15">
      <c r="A40" s="22">
        <v>470</v>
      </c>
      <c r="B40" s="40">
        <f t="shared" si="2"/>
        <v>0.019655348577068563</v>
      </c>
      <c r="C40" s="34">
        <f t="shared" si="6"/>
        <v>4.7E-07</v>
      </c>
      <c r="D40" s="34">
        <f t="shared" si="3"/>
        <v>7.288637081984881</v>
      </c>
      <c r="E40" s="41">
        <f t="shared" si="4"/>
        <v>3550749829255.305</v>
      </c>
      <c r="F40" s="211">
        <v>0.004483429149937679</v>
      </c>
      <c r="G40" s="211">
        <f t="shared" si="5"/>
        <v>0.009923090844757126</v>
      </c>
      <c r="H40" s="211">
        <v>0.016194202638721254</v>
      </c>
      <c r="I40" s="211">
        <f t="shared" si="7"/>
        <v>0.012345679012345678</v>
      </c>
      <c r="J40" s="211">
        <v>0.009190681389711816</v>
      </c>
      <c r="K40" s="211">
        <v>0.03127509838138686</v>
      </c>
      <c r="L40" s="211">
        <f t="shared" si="8"/>
        <v>0.002216850962131865</v>
      </c>
      <c r="M40" s="212" t="e">
        <f>Toolbox!U27/SUM(Toolbox!U$9:U$89)</f>
        <v>#DIV/0!</v>
      </c>
      <c r="N40" s="28" t="e">
        <f t="shared" si="9"/>
        <v>#DIV/0!</v>
      </c>
      <c r="P40" s="72">
        <v>470</v>
      </c>
      <c r="Q40" s="21">
        <f>Reference!C29*5</f>
        <v>0.008025331162312143</v>
      </c>
      <c r="R40" s="21">
        <f>Reference!D29*5</f>
        <v>0.016220377513129457</v>
      </c>
      <c r="S40" s="21">
        <f>Reference!E29*5</f>
        <v>0.03372703459212615</v>
      </c>
      <c r="T40" s="21">
        <f>Reference!F29*5</f>
        <v>0.049060239266473384</v>
      </c>
      <c r="U40" s="69">
        <f>Reference!G29*5</f>
        <v>0.04696931791312094</v>
      </c>
      <c r="V40" s="182">
        <f>Reference!H29</f>
        <v>0.09098</v>
      </c>
      <c r="X40" s="49">
        <v>470</v>
      </c>
      <c r="Y40" s="172">
        <f t="shared" si="1"/>
        <v>0.049060239266473384</v>
      </c>
    </row>
    <row r="41" spans="1:25" ht="15">
      <c r="A41" s="22">
        <v>475</v>
      </c>
      <c r="B41" s="40">
        <f t="shared" si="2"/>
        <v>0.00861215242548556</v>
      </c>
      <c r="C41" s="34">
        <f t="shared" si="6"/>
        <v>4.75E-07</v>
      </c>
      <c r="D41" s="34">
        <f t="shared" si="3"/>
        <v>7.21191458638504</v>
      </c>
      <c r="E41" s="41">
        <f t="shared" si="4"/>
        <v>3636513063971.404</v>
      </c>
      <c r="F41" s="211">
        <v>0.004760377192755032</v>
      </c>
      <c r="G41" s="211">
        <f t="shared" si="5"/>
        <v>0.010162768774814665</v>
      </c>
      <c r="H41" s="211">
        <v>0.016269068098722132</v>
      </c>
      <c r="I41" s="211">
        <f t="shared" si="7"/>
        <v>0.012345679012345678</v>
      </c>
      <c r="J41" s="211">
        <v>0.008062887153245348</v>
      </c>
      <c r="K41" s="211">
        <v>0.02059076391759743</v>
      </c>
      <c r="L41" s="211">
        <f t="shared" si="8"/>
        <v>0.000971331457979736</v>
      </c>
      <c r="M41" s="212" t="e">
        <f>Toolbox!U28/SUM(Toolbox!U$9:U$89)</f>
        <v>#DIV/0!</v>
      </c>
      <c r="N41" s="28" t="e">
        <f t="shared" si="9"/>
        <v>#DIV/0!</v>
      </c>
      <c r="P41" s="72">
        <v>475</v>
      </c>
      <c r="Q41" s="21">
        <f>Reference!C30*5</f>
        <v>0.00935286597208945</v>
      </c>
      <c r="R41" s="21">
        <f>Reference!D30*5</f>
        <v>0.018497276095995576</v>
      </c>
      <c r="S41" s="21">
        <f>Reference!E30*5</f>
        <v>0.03656528084936665</v>
      </c>
      <c r="T41" s="21">
        <f>Reference!F30*5</f>
        <v>0.052336057731909844</v>
      </c>
      <c r="U41" s="69">
        <f>Reference!G30*5</f>
        <v>0.035430670422599606</v>
      </c>
      <c r="V41" s="182">
        <f>Reference!H30</f>
        <v>0.1126</v>
      </c>
      <c r="X41" s="49">
        <v>475</v>
      </c>
      <c r="Y41" s="172">
        <f t="shared" si="1"/>
        <v>0.052336057731909844</v>
      </c>
    </row>
    <row r="42" spans="1:25" ht="15">
      <c r="A42" s="22">
        <v>480</v>
      </c>
      <c r="B42" s="40">
        <f t="shared" si="2"/>
        <v>0.0034882875689700205</v>
      </c>
      <c r="C42" s="34">
        <f t="shared" si="6"/>
        <v>4.8E-07</v>
      </c>
      <c r="D42" s="34">
        <f t="shared" si="3"/>
        <v>7.136790476110196</v>
      </c>
      <c r="E42" s="41">
        <f t="shared" si="4"/>
        <v>3720471789456.41</v>
      </c>
      <c r="F42" s="211">
        <v>0.005045357262190856</v>
      </c>
      <c r="G42" s="211">
        <f t="shared" si="5"/>
        <v>0.010397403739332138</v>
      </c>
      <c r="H42" s="211">
        <v>0.016343933558723014</v>
      </c>
      <c r="I42" s="211">
        <f t="shared" si="7"/>
        <v>0.012345679012345678</v>
      </c>
      <c r="J42" s="211">
        <v>0.009527336385671955</v>
      </c>
      <c r="K42" s="211">
        <v>0.012944027179725445</v>
      </c>
      <c r="L42" s="211">
        <f t="shared" si="8"/>
        <v>0.0003934305017864573</v>
      </c>
      <c r="M42" s="212" t="e">
        <f>Toolbox!U29/SUM(Toolbox!U$9:U$89)</f>
        <v>#DIV/0!</v>
      </c>
      <c r="N42" s="28" t="e">
        <f t="shared" si="9"/>
        <v>#DIV/0!</v>
      </c>
      <c r="P42" s="72">
        <v>480</v>
      </c>
      <c r="Q42" s="21">
        <f>Reference!C31*5</f>
        <v>0.01088393224466466</v>
      </c>
      <c r="R42" s="21">
        <f>Reference!D31*5</f>
        <v>0.020921267024269153</v>
      </c>
      <c r="S42" s="21">
        <f>Reference!E31*5</f>
        <v>0.039332718445631826</v>
      </c>
      <c r="T42" s="21">
        <f>Reference!F31*5</f>
        <v>0.055066026606014354</v>
      </c>
      <c r="U42" s="69">
        <f>Reference!G31*5</f>
        <v>0.02545368999230329</v>
      </c>
      <c r="V42" s="182">
        <f>Reference!H31</f>
        <v>0.13902</v>
      </c>
      <c r="X42" s="49">
        <v>480</v>
      </c>
      <c r="Y42" s="172">
        <f t="shared" si="1"/>
        <v>0.055066026606014354</v>
      </c>
    </row>
    <row r="43" spans="1:25" ht="15">
      <c r="A43" s="22">
        <v>485</v>
      </c>
      <c r="B43" s="40">
        <f t="shared" si="2"/>
        <v>0.0013061181600197013</v>
      </c>
      <c r="C43" s="34">
        <f t="shared" si="6"/>
        <v>4.85E-07</v>
      </c>
      <c r="D43" s="34">
        <f t="shared" si="3"/>
        <v>7.063215316562667</v>
      </c>
      <c r="E43" s="41">
        <f t="shared" si="4"/>
        <v>3802552229616.487</v>
      </c>
      <c r="F43" s="211">
        <v>0.00533813927414931</v>
      </c>
      <c r="G43" s="211">
        <f t="shared" si="5"/>
        <v>0.010626789560201674</v>
      </c>
      <c r="H43" s="211">
        <v>0.015842574658980778</v>
      </c>
      <c r="I43" s="211">
        <f t="shared" si="7"/>
        <v>0.012345679012345678</v>
      </c>
      <c r="J43" s="211">
        <v>0.024053999461351984</v>
      </c>
      <c r="K43" s="211">
        <v>0.010062400688761167</v>
      </c>
      <c r="L43" s="211">
        <f t="shared" si="8"/>
        <v>0.000147312030022996</v>
      </c>
      <c r="M43" s="212" t="e">
        <f>Toolbox!U30/SUM(Toolbox!U$9:U$89)</f>
        <v>#DIV/0!</v>
      </c>
      <c r="N43" s="28" t="e">
        <f t="shared" si="9"/>
        <v>#DIV/0!</v>
      </c>
      <c r="P43" s="72">
        <v>485</v>
      </c>
      <c r="Q43" s="21">
        <f>Reference!C32*5</f>
        <v>0.012485350069562104</v>
      </c>
      <c r="R43" s="21">
        <f>Reference!D32*5</f>
        <v>0.023222213750070803</v>
      </c>
      <c r="S43" s="21">
        <f>Reference!E32*5</f>
        <v>0.04155303523840864</v>
      </c>
      <c r="T43" s="21">
        <f>Reference!F32*5</f>
        <v>0.0564926655898467</v>
      </c>
      <c r="U43" s="69">
        <f>Reference!G32*5</f>
        <v>0.01730883026876756</v>
      </c>
      <c r="V43" s="182">
        <f>Reference!H32</f>
        <v>0.1693</v>
      </c>
      <c r="X43" s="49">
        <v>485</v>
      </c>
      <c r="Y43" s="172">
        <f t="shared" si="1"/>
        <v>0.0564926655898467</v>
      </c>
    </row>
    <row r="44" spans="1:25" ht="15">
      <c r="A44" s="22">
        <v>490</v>
      </c>
      <c r="B44" s="40">
        <f t="shared" si="2"/>
        <v>0.0004520872618590284</v>
      </c>
      <c r="C44" s="34">
        <f t="shared" si="6"/>
        <v>4.9E-07</v>
      </c>
      <c r="D44" s="34">
        <f t="shared" si="3"/>
        <v>6.991141690883457</v>
      </c>
      <c r="E44" s="41">
        <f t="shared" si="4"/>
        <v>3882687764629.712</v>
      </c>
      <c r="F44" s="211">
        <v>0.0056384408526945875</v>
      </c>
      <c r="G44" s="211">
        <f t="shared" si="5"/>
        <v>0.010850740058566191</v>
      </c>
      <c r="H44" s="211">
        <v>0.015341215759238545</v>
      </c>
      <c r="I44" s="211">
        <f t="shared" si="7"/>
        <v>0.012345679012345678</v>
      </c>
      <c r="J44" s="211">
        <v>0.025181793697818457</v>
      </c>
      <c r="K44" s="211">
        <v>0.008741340181921724</v>
      </c>
      <c r="L44" s="211">
        <f t="shared" si="8"/>
        <v>0</v>
      </c>
      <c r="M44" s="212" t="e">
        <f>Toolbox!U31/SUM(Toolbox!U$9:U$89)</f>
        <v>#DIV/0!</v>
      </c>
      <c r="N44" s="28" t="e">
        <f t="shared" si="9"/>
        <v>#DIV/0!</v>
      </c>
      <c r="P44" s="72">
        <v>490</v>
      </c>
      <c r="Q44" s="21">
        <f>Reference!C33*5</f>
        <v>0.014240255601356604</v>
      </c>
      <c r="R44" s="21">
        <f>Reference!D33*5</f>
        <v>0.025561052278214064</v>
      </c>
      <c r="S44" s="21">
        <f>Reference!E33*5</f>
        <v>0.04356212638750426</v>
      </c>
      <c r="T44" s="21">
        <f>Reference!F33*5</f>
        <v>0.05702750775795709</v>
      </c>
      <c r="U44" s="69">
        <f>Reference!G33*5</f>
        <v>0.011338367061795324</v>
      </c>
      <c r="V44" s="182">
        <f>Reference!H33</f>
        <v>0.20802</v>
      </c>
      <c r="X44" s="49">
        <v>490</v>
      </c>
      <c r="Y44" s="172">
        <f t="shared" si="1"/>
        <v>0.05702750775795709</v>
      </c>
    </row>
    <row r="45" spans="1:25" ht="15">
      <c r="A45" s="22">
        <v>495</v>
      </c>
      <c r="B45" s="40">
        <f t="shared" si="2"/>
        <v>0.00014465441322250683</v>
      </c>
      <c r="C45" s="34">
        <f t="shared" si="6"/>
        <v>4.95E-07</v>
      </c>
      <c r="D45" s="34">
        <f t="shared" si="3"/>
        <v>6.92052409804625</v>
      </c>
      <c r="E45" s="41">
        <f t="shared" si="4"/>
        <v>3960818727267.418</v>
      </c>
      <c r="F45" s="211">
        <v>0.005945990080258875</v>
      </c>
      <c r="G45" s="211">
        <f t="shared" si="5"/>
        <v>0.011069088485609524</v>
      </c>
      <c r="H45" s="211">
        <v>0.015379423931856694</v>
      </c>
      <c r="I45" s="211">
        <f t="shared" si="7"/>
        <v>0.012345679012345678</v>
      </c>
      <c r="J45" s="211">
        <v>0.01509897656881227</v>
      </c>
      <c r="K45" s="211">
        <v>0.008033677104178785</v>
      </c>
      <c r="L45" s="211">
        <f t="shared" si="8"/>
        <v>0</v>
      </c>
      <c r="M45" s="212" t="e">
        <f>Toolbox!U32/SUM(Toolbox!U$9:U$89)</f>
        <v>#DIV/0!</v>
      </c>
      <c r="N45" s="28" t="e">
        <f t="shared" si="9"/>
        <v>#DIV/0!</v>
      </c>
      <c r="P45" s="72">
        <v>495</v>
      </c>
      <c r="Q45" s="21">
        <f>Reference!C34*5</f>
        <v>0.016129820659373226</v>
      </c>
      <c r="R45" s="21">
        <f>Reference!D34*5</f>
        <v>0.027907039755310798</v>
      </c>
      <c r="S45" s="21">
        <f>Reference!E34*5</f>
        <v>0.04530797250022604</v>
      </c>
      <c r="T45" s="21">
        <f>Reference!F34*5</f>
        <v>0.056572558806557746</v>
      </c>
      <c r="U45" s="69">
        <f>Reference!G34*5</f>
        <v>0.00721727190958898</v>
      </c>
      <c r="V45" s="182">
        <f>Reference!H34</f>
        <v>0.2586</v>
      </c>
      <c r="X45" s="49">
        <v>495</v>
      </c>
      <c r="Y45" s="172">
        <f t="shared" si="1"/>
        <v>0.056572558806557746</v>
      </c>
    </row>
    <row r="46" spans="1:25" ht="15">
      <c r="A46" s="22">
        <v>500</v>
      </c>
      <c r="B46" s="40">
        <f t="shared" si="2"/>
        <v>4.278688999411523E-05</v>
      </c>
      <c r="C46" s="34">
        <f t="shared" si="6"/>
        <v>5E-07</v>
      </c>
      <c r="D46" s="34">
        <f t="shared" si="3"/>
        <v>6.851318857065788</v>
      </c>
      <c r="E46" s="41">
        <f t="shared" si="4"/>
        <v>4036892183107.5894</v>
      </c>
      <c r="F46" s="211">
        <v>0.006260494122538375</v>
      </c>
      <c r="G46" s="211">
        <f t="shared" si="5"/>
        <v>0.011281686908330554</v>
      </c>
      <c r="H46" s="211">
        <v>0.015417773094041702</v>
      </c>
      <c r="I46" s="211">
        <f t="shared" si="7"/>
        <v>0.012345679012345678</v>
      </c>
      <c r="J46" s="211">
        <v>0.007945057904659297</v>
      </c>
      <c r="K46" s="211">
        <v>0.009198644428266034</v>
      </c>
      <c r="L46" s="211">
        <f t="shared" si="8"/>
        <v>0</v>
      </c>
      <c r="M46" s="212" t="e">
        <f>Toolbox!U33/SUM(Toolbox!U$9:U$89)</f>
        <v>#DIV/0!</v>
      </c>
      <c r="N46" s="28" t="e">
        <f t="shared" si="9"/>
        <v>#DIV/0!</v>
      </c>
      <c r="P46" s="72">
        <v>500</v>
      </c>
      <c r="Q46" s="21">
        <f>Reference!C35*5</f>
        <v>0.018131734944861578</v>
      </c>
      <c r="R46" s="21">
        <f>Reference!D35*5</f>
        <v>0.030230678658669373</v>
      </c>
      <c r="S46" s="21">
        <f>Reference!E35*5</f>
        <v>0.04673018038057733</v>
      </c>
      <c r="T46" s="21">
        <f>Reference!F35*5</f>
        <v>0.05508581566008296</v>
      </c>
      <c r="U46" s="69">
        <f>Reference!G35*5</f>
        <v>0.004503010907266552</v>
      </c>
      <c r="V46" s="182">
        <f>Reference!H35</f>
        <v>0.323</v>
      </c>
      <c r="X46" s="49">
        <v>500</v>
      </c>
      <c r="Y46" s="172">
        <f t="shared" si="1"/>
        <v>0.05508581566008296</v>
      </c>
    </row>
    <row r="47" spans="1:25" ht="15">
      <c r="A47" s="22">
        <v>505</v>
      </c>
      <c r="B47" s="40">
        <f t="shared" si="2"/>
        <v>1.1699286276169499E-05</v>
      </c>
      <c r="C47" s="34">
        <f t="shared" si="6"/>
        <v>5.05E-07</v>
      </c>
      <c r="D47" s="34">
        <f t="shared" si="3"/>
        <v>6.783484016896819</v>
      </c>
      <c r="E47" s="41">
        <f t="shared" si="4"/>
        <v>4110861697533.417</v>
      </c>
      <c r="F47" s="211">
        <v>0.00658166014522929</v>
      </c>
      <c r="G47" s="211">
        <f t="shared" si="5"/>
        <v>0.011488405558386506</v>
      </c>
      <c r="H47" s="211">
        <v>0.015308365190160945</v>
      </c>
      <c r="I47" s="211">
        <f t="shared" si="7"/>
        <v>0.012345679012345678</v>
      </c>
      <c r="J47" s="211">
        <v>0.003922030702935628</v>
      </c>
      <c r="K47" s="211">
        <v>0.01062043381710025</v>
      </c>
      <c r="L47" s="211">
        <f t="shared" si="8"/>
        <v>0</v>
      </c>
      <c r="M47" s="212" t="e">
        <f>Toolbox!U34/SUM(Toolbox!U$9:U$89)</f>
        <v>#DIV/0!</v>
      </c>
      <c r="N47" s="28" t="e">
        <f t="shared" si="9"/>
        <v>#DIV/0!</v>
      </c>
      <c r="P47" s="72">
        <v>505</v>
      </c>
      <c r="Q47" s="21">
        <f>Reference!C36*5</f>
        <v>0.020221437665317487</v>
      </c>
      <c r="R47" s="21">
        <f>Reference!D36*5</f>
        <v>0.032503351493911516</v>
      </c>
      <c r="S47" s="21">
        <f>Reference!E36*5</f>
        <v>0.0477601464384939</v>
      </c>
      <c r="T47" s="21">
        <f>Reference!F36*5</f>
        <v>0.05259639517253284</v>
      </c>
      <c r="U47" s="69">
        <f>Reference!G36*5</f>
        <v>0.002774905337104372</v>
      </c>
      <c r="V47" s="182">
        <f>Reference!H36</f>
        <v>0.4073</v>
      </c>
      <c r="X47" s="49">
        <v>505</v>
      </c>
      <c r="Y47" s="172">
        <f t="shared" si="1"/>
        <v>0.05259639517253284</v>
      </c>
    </row>
    <row r="48" spans="1:25" ht="15">
      <c r="A48" s="22">
        <v>510</v>
      </c>
      <c r="B48" s="40">
        <f t="shared" si="2"/>
        <v>2.957179117169781E-06</v>
      </c>
      <c r="C48" s="34">
        <f t="shared" si="6"/>
        <v>5.1E-07</v>
      </c>
      <c r="D48" s="34">
        <f t="shared" si="3"/>
        <v>6.716979271633125</v>
      </c>
      <c r="E48" s="41">
        <f t="shared" si="4"/>
        <v>4182687092176.9443</v>
      </c>
      <c r="F48" s="211">
        <v>0.006909163938923842</v>
      </c>
      <c r="G48" s="211">
        <f t="shared" si="5"/>
        <v>0.011689132151439031</v>
      </c>
      <c r="H48" s="211">
        <v>0.01519895728628019</v>
      </c>
      <c r="I48" s="211">
        <f t="shared" si="7"/>
        <v>0.012345679012345678</v>
      </c>
      <c r="J48" s="211">
        <v>0.0024744142203070273</v>
      </c>
      <c r="K48" s="211">
        <v>0.012198804179882757</v>
      </c>
      <c r="L48" s="211">
        <f t="shared" si="8"/>
        <v>0</v>
      </c>
      <c r="M48" s="212" t="e">
        <f>Toolbox!U35/SUM(Toolbox!U$9:U$89)</f>
        <v>#DIV/0!</v>
      </c>
      <c r="N48" s="28" t="e">
        <f t="shared" si="9"/>
        <v>#DIV/0!</v>
      </c>
      <c r="P48" s="72">
        <v>510</v>
      </c>
      <c r="Q48" s="21">
        <f>Reference!C37*5</f>
        <v>0.022373324133079513</v>
      </c>
      <c r="R48" s="21">
        <f>Reference!D37*5</f>
        <v>0.03469641001109927</v>
      </c>
      <c r="S48" s="21">
        <f>Reference!E37*5</f>
        <v>0.04832344992104811</v>
      </c>
      <c r="T48" s="21">
        <f>Reference!F37*5</f>
        <v>0.049208357786346885</v>
      </c>
      <c r="U48" s="69">
        <f>Reference!G37*5</f>
        <v>0.0016992763774504515</v>
      </c>
      <c r="V48" s="182">
        <f>Reference!H37</f>
        <v>0.503</v>
      </c>
      <c r="X48" s="49">
        <v>510</v>
      </c>
      <c r="Y48" s="172">
        <f t="shared" si="1"/>
        <v>0.049208357786346885</v>
      </c>
    </row>
    <row r="49" spans="1:25" ht="15">
      <c r="A49" s="22">
        <v>515</v>
      </c>
      <c r="B49" s="40">
        <f t="shared" si="2"/>
        <v>6.909800494388013E-07</v>
      </c>
      <c r="C49" s="34">
        <f t="shared" si="6"/>
        <v>5.15E-07</v>
      </c>
      <c r="D49" s="34">
        <f t="shared" si="3"/>
        <v>6.651765880646395</v>
      </c>
      <c r="E49" s="41">
        <f t="shared" si="4"/>
        <v>4252334193241.1855</v>
      </c>
      <c r="F49" s="211">
        <v>0.007242681294214253</v>
      </c>
      <c r="G49" s="211">
        <f t="shared" si="5"/>
        <v>0.01188377118380347</v>
      </c>
      <c r="H49" s="211">
        <v>0.01498662699859408</v>
      </c>
      <c r="I49" s="211">
        <f t="shared" si="7"/>
        <v>0.012345679012345678</v>
      </c>
      <c r="J49" s="211">
        <v>0.0018516024777807689</v>
      </c>
      <c r="K49" s="211">
        <v>0.013884244710209345</v>
      </c>
      <c r="L49" s="211">
        <f t="shared" si="8"/>
        <v>0</v>
      </c>
      <c r="M49" s="212" t="e">
        <f>Toolbox!U36/SUM(Toolbox!U$9:U$89)</f>
        <v>#DIV/0!</v>
      </c>
      <c r="N49" s="28" t="e">
        <f t="shared" si="9"/>
        <v>#DIV/0!</v>
      </c>
      <c r="P49" s="72">
        <v>515</v>
      </c>
      <c r="Q49" s="21">
        <f>Reference!C38*5</f>
        <v>0.02439266198747579</v>
      </c>
      <c r="R49" s="21">
        <f>Reference!D38*5</f>
        <v>0.036526675752517154</v>
      </c>
      <c r="S49" s="21">
        <f>Reference!E38*5</f>
        <v>0.048012367187164146</v>
      </c>
      <c r="T49" s="21">
        <f>Reference!F38*5</f>
        <v>0.04477990743153532</v>
      </c>
      <c r="U49" s="69">
        <f>Reference!G38*5</f>
        <v>0.0010316966381110015</v>
      </c>
      <c r="V49" s="182">
        <f>Reference!H38</f>
        <v>0.6082</v>
      </c>
      <c r="X49" s="49">
        <v>515</v>
      </c>
      <c r="Y49" s="172">
        <f t="shared" si="1"/>
        <v>0.04477990743153532</v>
      </c>
    </row>
    <row r="50" spans="1:25" ht="15">
      <c r="A50" s="22">
        <v>520</v>
      </c>
      <c r="B50" s="40">
        <f t="shared" si="2"/>
        <v>1.4925297648136002E-07</v>
      </c>
      <c r="C50" s="34">
        <f t="shared" si="6"/>
        <v>5.2E-07</v>
      </c>
      <c r="D50" s="34">
        <f t="shared" si="3"/>
        <v>6.5878065933324885</v>
      </c>
      <c r="E50" s="41">
        <f t="shared" si="4"/>
        <v>4319774573914.9795</v>
      </c>
      <c r="F50" s="211">
        <v>0.007581888001692749</v>
      </c>
      <c r="G50" s="211">
        <f t="shared" si="5"/>
        <v>0.012072243212589404</v>
      </c>
      <c r="H50" s="211">
        <v>0.01477429671090797</v>
      </c>
      <c r="I50" s="211">
        <f t="shared" si="7"/>
        <v>0.012345679012345678</v>
      </c>
      <c r="J50" s="211">
        <v>0.001498114732022622</v>
      </c>
      <c r="K50" s="211">
        <v>0.015644073397941275</v>
      </c>
      <c r="L50" s="211">
        <f t="shared" si="8"/>
        <v>0</v>
      </c>
      <c r="M50" s="212" t="e">
        <f>Toolbox!U37/SUM(Toolbox!U$9:U$89)</f>
        <v>#DIV/0!</v>
      </c>
      <c r="N50" s="28" t="e">
        <f t="shared" si="9"/>
        <v>#DIV/0!</v>
      </c>
      <c r="P50" s="72">
        <v>520</v>
      </c>
      <c r="Q50" s="21">
        <f>Reference!C39*5</f>
        <v>0.026394463949516174</v>
      </c>
      <c r="R50" s="21">
        <f>Reference!D39*5</f>
        <v>0.038189606816362964</v>
      </c>
      <c r="S50" s="21">
        <f>Reference!E39*5</f>
        <v>0.04710313220092992</v>
      </c>
      <c r="T50" s="21">
        <f>Reference!F39*5</f>
        <v>0.03989804346466327</v>
      </c>
      <c r="U50" s="69">
        <f>Reference!G39*5</f>
        <v>0.0006274139692869088</v>
      </c>
      <c r="V50" s="182">
        <f>Reference!H39</f>
        <v>0.71</v>
      </c>
      <c r="X50" s="49">
        <v>520</v>
      </c>
      <c r="Y50" s="172">
        <f t="shared" si="1"/>
        <v>0.03989804346466327</v>
      </c>
    </row>
    <row r="51" spans="1:25" ht="15">
      <c r="A51" s="22">
        <v>525</v>
      </c>
      <c r="B51" s="40">
        <f t="shared" si="2"/>
        <v>2.98023223876953E-08</v>
      </c>
      <c r="C51" s="34">
        <f t="shared" si="6"/>
        <v>5.25E-07</v>
      </c>
      <c r="D51" s="34">
        <f t="shared" si="3"/>
        <v>6.525065578157894</v>
      </c>
      <c r="E51" s="41">
        <f t="shared" si="4"/>
        <v>4384985292885.2715</v>
      </c>
      <c r="F51" s="211">
        <v>0.007926428476847573</v>
      </c>
      <c r="G51" s="211">
        <f t="shared" si="5"/>
        <v>0.012254484124934911</v>
      </c>
      <c r="H51" s="211">
        <v>0.01497859059328325</v>
      </c>
      <c r="I51" s="211">
        <f t="shared" si="7"/>
        <v>0.012345679012345678</v>
      </c>
      <c r="J51" s="211">
        <v>0.00139711823323458</v>
      </c>
      <c r="K51" s="211">
        <v>0.017446217971934932</v>
      </c>
      <c r="L51" s="211">
        <f t="shared" si="8"/>
        <v>0</v>
      </c>
      <c r="M51" s="212" t="e">
        <f>Toolbox!U38/SUM(Toolbox!U$9:U$89)</f>
        <v>#DIV/0!</v>
      </c>
      <c r="N51" s="28" t="e">
        <f t="shared" si="9"/>
        <v>#DIV/0!</v>
      </c>
      <c r="P51" s="72">
        <v>525</v>
      </c>
      <c r="Q51" s="21">
        <f>Reference!C40*5</f>
        <v>0.02832243677922602</v>
      </c>
      <c r="R51" s="21">
        <f>Reference!D40*5</f>
        <v>0.03960632631336154</v>
      </c>
      <c r="S51" s="21">
        <f>Reference!E40*5</f>
        <v>0.04550875727761267</v>
      </c>
      <c r="T51" s="21">
        <f>Reference!F40*5</f>
        <v>0.034753824922207244</v>
      </c>
      <c r="U51" s="69">
        <f>Reference!G40*5</f>
        <v>0.0003826261751455396</v>
      </c>
      <c r="V51" s="182">
        <f>Reference!H40</f>
        <v>0.7932</v>
      </c>
      <c r="X51" s="49">
        <v>525</v>
      </c>
      <c r="Y51" s="172">
        <f t="shared" si="1"/>
        <v>0.034753824922207244</v>
      </c>
    </row>
    <row r="52" spans="1:25" ht="15">
      <c r="A52" s="22">
        <v>530</v>
      </c>
      <c r="B52" s="40">
        <f t="shared" si="2"/>
        <v>5.501065689455758E-09</v>
      </c>
      <c r="C52" s="34">
        <f t="shared" si="6"/>
        <v>5.3E-07</v>
      </c>
      <c r="D52" s="34">
        <f t="shared" si="3"/>
        <v>6.46350835572244</v>
      </c>
      <c r="E52" s="41">
        <f t="shared" si="4"/>
        <v>4447948630751.496</v>
      </c>
      <c r="F52" s="211">
        <v>0.008275978510270947</v>
      </c>
      <c r="G52" s="211">
        <f t="shared" si="5"/>
        <v>0.012430444401377905</v>
      </c>
      <c r="H52" s="211">
        <v>0.015183025465225385</v>
      </c>
      <c r="I52" s="211">
        <f t="shared" si="7"/>
        <v>0.012345679012345678</v>
      </c>
      <c r="J52" s="211">
        <v>0.0019862644761648243</v>
      </c>
      <c r="K52" s="211">
        <v>0.019253484353487643</v>
      </c>
      <c r="L52" s="211">
        <f t="shared" si="8"/>
        <v>0</v>
      </c>
      <c r="M52" s="212" t="e">
        <f>Toolbox!U39/SUM(Toolbox!U$9:U$89)</f>
        <v>#DIV/0!</v>
      </c>
      <c r="N52" s="28" t="e">
        <f t="shared" si="9"/>
        <v>#DIV/0!</v>
      </c>
      <c r="P52" s="72">
        <v>530</v>
      </c>
      <c r="Q52" s="21">
        <f>Reference!C41*5</f>
        <v>0.030182442634877748</v>
      </c>
      <c r="R52" s="21">
        <f>Reference!D41*5</f>
        <v>0.040781994442184916</v>
      </c>
      <c r="S52" s="21">
        <f>Reference!E41*5</f>
        <v>0.04328291897806083</v>
      </c>
      <c r="T52" s="21">
        <f>Reference!F41*5</f>
        <v>0.02961488151312581</v>
      </c>
      <c r="U52" s="69">
        <f>Reference!G41*5</f>
        <v>0.00023463496124419454</v>
      </c>
      <c r="V52" s="182">
        <f>Reference!H41</f>
        <v>0.862</v>
      </c>
      <c r="X52" s="49">
        <v>530</v>
      </c>
      <c r="Y52" s="172">
        <f t="shared" si="1"/>
        <v>0.02961488151312581</v>
      </c>
    </row>
    <row r="53" spans="1:25" ht="15">
      <c r="A53" s="22">
        <v>535</v>
      </c>
      <c r="B53" s="40">
        <f t="shared" si="2"/>
        <v>9.38670498397558E-10</v>
      </c>
      <c r="C53" s="34">
        <f t="shared" si="6"/>
        <v>5.35E-07</v>
      </c>
      <c r="D53" s="34">
        <f t="shared" si="3"/>
        <v>6.403101735575502</v>
      </c>
      <c r="E53" s="41">
        <f t="shared" si="4"/>
        <v>4508651825957.494</v>
      </c>
      <c r="F53" s="211">
        <v>0.008630172059083127</v>
      </c>
      <c r="G53" s="211">
        <f t="shared" si="5"/>
        <v>0.012600088377879196</v>
      </c>
      <c r="H53" s="211">
        <v>0.014951520596446773</v>
      </c>
      <c r="I53" s="211">
        <f t="shared" si="7"/>
        <v>0.012345679012345678</v>
      </c>
      <c r="J53" s="211">
        <v>0.008248047401023424</v>
      </c>
      <c r="K53" s="211">
        <v>0.021022946917342557</v>
      </c>
      <c r="L53" s="211">
        <f t="shared" si="8"/>
        <v>0</v>
      </c>
      <c r="M53" s="212" t="e">
        <f>Toolbox!U40/SUM(Toolbox!U$9:U$89)</f>
        <v>#DIV/0!</v>
      </c>
      <c r="N53" s="28" t="e">
        <f t="shared" si="9"/>
        <v>#DIV/0!</v>
      </c>
      <c r="P53" s="72">
        <v>535</v>
      </c>
      <c r="Q53" s="21">
        <f>Reference!C42*5</f>
        <v>0.031952939247087066</v>
      </c>
      <c r="R53" s="21">
        <f>Reference!D42*5</f>
        <v>0.04167504925730776</v>
      </c>
      <c r="S53" s="21">
        <f>Reference!E42*5</f>
        <v>0.040462228098755645</v>
      </c>
      <c r="T53" s="21">
        <f>Reference!F42*5</f>
        <v>0.024666295957313403</v>
      </c>
      <c r="U53" s="69">
        <f>Reference!G42*5</f>
        <v>0.00014482855683566257</v>
      </c>
      <c r="V53" s="182">
        <f>Reference!H42</f>
        <v>0.9148501</v>
      </c>
      <c r="X53" s="49">
        <v>535</v>
      </c>
      <c r="Y53" s="172">
        <f aca="true" t="shared" si="10" ref="Y53:Y84">HLOOKUP($Y$18,$Q$21:$U$102,ROW()-20,FALSE)</f>
        <v>0.024666295957313403</v>
      </c>
    </row>
    <row r="54" spans="1:25" ht="15">
      <c r="A54" s="22">
        <v>540</v>
      </c>
      <c r="B54" s="40">
        <f aca="true" t="shared" si="11" ref="B54:B85">EXP(-(((A54-$C$15)/($C$16/2))^2*LN(2)))</f>
        <v>1.480638784095349E-10</v>
      </c>
      <c r="C54" s="34">
        <f t="shared" si="6"/>
        <v>5.4E-07</v>
      </c>
      <c r="D54" s="34">
        <f aca="true" t="shared" si="12" ref="D54:D85">$H$15*H$16/($H$17*$C54*$H$18)</f>
        <v>6.343813756542396</v>
      </c>
      <c r="E54" s="41">
        <f aca="true" t="shared" si="13" ref="E54:E85">(2*H$15*(H$16^2))/((C54^5))*(1/(EXP(D54)-1))</f>
        <v>4567086811678.117</v>
      </c>
      <c r="F54" s="211">
        <v>0.008988653538772354</v>
      </c>
      <c r="G54" s="211">
        <f aca="true" t="shared" si="14" ref="G54:G85">E54/SUM(E$22:E$102)</f>
        <v>0.012763393510513515</v>
      </c>
      <c r="H54" s="211">
        <v>0.014720015727668161</v>
      </c>
      <c r="I54" s="211">
        <f t="shared" si="7"/>
        <v>0.012345679012345678</v>
      </c>
      <c r="J54" s="211">
        <v>0.06664085645030968</v>
      </c>
      <c r="K54" s="211">
        <v>0.02270704602187987</v>
      </c>
      <c r="L54" s="211">
        <f t="shared" si="8"/>
        <v>0</v>
      </c>
      <c r="M54" s="212" t="e">
        <f>Toolbox!U41/SUM(Toolbox!U$9:U$89)</f>
        <v>#DIV/0!</v>
      </c>
      <c r="N54" s="28" t="e">
        <f t="shared" si="9"/>
        <v>#DIV/0!</v>
      </c>
      <c r="P54" s="72">
        <v>540</v>
      </c>
      <c r="Q54" s="21">
        <f>Reference!C43*5</f>
        <v>0.033612175159722577</v>
      </c>
      <c r="R54" s="21">
        <f>Reference!D43*5</f>
        <v>0.04223995200865127</v>
      </c>
      <c r="S54" s="21">
        <f>Reference!E43*5</f>
        <v>0.03712344707923392</v>
      </c>
      <c r="T54" s="21">
        <f>Reference!F43*5</f>
        <v>0.02005698686654591</v>
      </c>
      <c r="U54" s="69">
        <f>Reference!G43*5</f>
        <v>9.004108814945119E-05</v>
      </c>
      <c r="V54" s="182">
        <f>Reference!H43</f>
        <v>0.954</v>
      </c>
      <c r="X54" s="49">
        <v>540</v>
      </c>
      <c r="Y54" s="172">
        <f t="shared" si="10"/>
        <v>0.02005698686654591</v>
      </c>
    </row>
    <row r="55" spans="1:25" ht="15">
      <c r="A55" s="22">
        <v>545</v>
      </c>
      <c r="B55" s="40">
        <f t="shared" si="11"/>
        <v>2.159010173462375E-11</v>
      </c>
      <c r="C55" s="34">
        <f t="shared" si="6"/>
        <v>5.45E-07</v>
      </c>
      <c r="D55" s="34">
        <f t="shared" si="12"/>
        <v>6.285613630335586</v>
      </c>
      <c r="E55" s="41">
        <f t="shared" si="13"/>
        <v>4623249954930.259</v>
      </c>
      <c r="F55" s="211">
        <v>0.009351077823194867</v>
      </c>
      <c r="G55" s="211">
        <f t="shared" si="14"/>
        <v>0.012920349646377076</v>
      </c>
      <c r="H55" s="211">
        <v>0.014694637605633963</v>
      </c>
      <c r="I55" s="211">
        <f t="shared" si="7"/>
        <v>0.012345679012345678</v>
      </c>
      <c r="J55" s="211">
        <v>0.12260974952868291</v>
      </c>
      <c r="K55" s="211">
        <v>0.024256880599690493</v>
      </c>
      <c r="L55" s="211">
        <f t="shared" si="8"/>
        <v>0</v>
      </c>
      <c r="M55" s="212" t="e">
        <f>Toolbox!U42/SUM(Toolbox!U$9:U$89)</f>
        <v>#DIV/0!</v>
      </c>
      <c r="N55" s="28" t="e">
        <f t="shared" si="9"/>
        <v>#DIV/0!</v>
      </c>
      <c r="P55" s="72">
        <v>545</v>
      </c>
      <c r="Q55" s="21">
        <f>Reference!C44*5</f>
        <v>0.03517762621402313</v>
      </c>
      <c r="R55" s="21">
        <f>Reference!D44*5</f>
        <v>0.04247813385661461</v>
      </c>
      <c r="S55" s="21">
        <f>Reference!E44*5</f>
        <v>0.03341748540758255</v>
      </c>
      <c r="T55" s="21">
        <f>Reference!F44*5</f>
        <v>0.015918384860365075</v>
      </c>
      <c r="U55" s="69">
        <f>Reference!G44*5</f>
        <v>5.64702553524073E-05</v>
      </c>
      <c r="V55" s="182">
        <f>Reference!H44</f>
        <v>0.9803</v>
      </c>
      <c r="X55" s="49">
        <v>545</v>
      </c>
      <c r="Y55" s="172">
        <f t="shared" si="10"/>
        <v>0.015918384860365075</v>
      </c>
    </row>
    <row r="56" spans="1:25" ht="15">
      <c r="A56" s="22">
        <v>550</v>
      </c>
      <c r="B56" s="40">
        <f t="shared" si="11"/>
        <v>2.9102471418121006E-12</v>
      </c>
      <c r="C56" s="34">
        <f t="shared" si="6"/>
        <v>5.5E-07</v>
      </c>
      <c r="D56" s="34">
        <f t="shared" si="12"/>
        <v>6.228471688241625</v>
      </c>
      <c r="E56" s="41">
        <f t="shared" si="13"/>
        <v>4677141799022.25</v>
      </c>
      <c r="F56" s="211">
        <v>0.009717078869470918</v>
      </c>
      <c r="G56" s="211">
        <f t="shared" si="14"/>
        <v>0.013070958303824641</v>
      </c>
      <c r="H56" s="211">
        <v>0.014669400473166625</v>
      </c>
      <c r="I56" s="211">
        <f t="shared" si="7"/>
        <v>0.012345679012345678</v>
      </c>
      <c r="J56" s="211">
        <v>0.05489159709130079</v>
      </c>
      <c r="K56" s="211">
        <v>0.025624647113556567</v>
      </c>
      <c r="L56" s="211">
        <f t="shared" si="8"/>
        <v>0</v>
      </c>
      <c r="M56" s="212" t="e">
        <f>Toolbox!U43/SUM(Toolbox!U$9:U$89)</f>
        <v>#DIV/0!</v>
      </c>
      <c r="N56" s="28" t="e">
        <f t="shared" si="9"/>
        <v>#DIV/0!</v>
      </c>
      <c r="P56" s="72">
        <v>550</v>
      </c>
      <c r="Q56" s="21">
        <f>Reference!C45*5</f>
        <v>0.03658672942219762</v>
      </c>
      <c r="R56" s="21">
        <f>Reference!D45*5</f>
        <v>0.04229464026714294</v>
      </c>
      <c r="S56" s="21">
        <f>Reference!E45*5</f>
        <v>0.029435456884474197</v>
      </c>
      <c r="T56" s="21">
        <f>Reference!F45*5</f>
        <v>0.012302102500511242</v>
      </c>
      <c r="U56" s="69">
        <f>Reference!G45*5</f>
        <v>3.569274498720228E-05</v>
      </c>
      <c r="V56" s="182">
        <f>Reference!H45</f>
        <v>0.9949501</v>
      </c>
      <c r="X56" s="49">
        <v>550</v>
      </c>
      <c r="Y56" s="172">
        <f t="shared" si="10"/>
        <v>0.012302102500511242</v>
      </c>
    </row>
    <row r="57" spans="1:25" ht="15">
      <c r="A57" s="22">
        <v>555</v>
      </c>
      <c r="B57" s="40">
        <f t="shared" si="11"/>
        <v>3.6263913404437147E-13</v>
      </c>
      <c r="C57" s="34">
        <f t="shared" si="6"/>
        <v>5.55E-07</v>
      </c>
      <c r="D57" s="34">
        <f t="shared" si="12"/>
        <v>6.1723593306899</v>
      </c>
      <c r="E57" s="41">
        <f t="shared" si="13"/>
        <v>4728766810310.406</v>
      </c>
      <c r="F57" s="211">
        <v>0.010086290634720758</v>
      </c>
      <c r="G57" s="211">
        <f t="shared" si="14"/>
        <v>0.013215231964743588</v>
      </c>
      <c r="H57" s="211">
        <v>0.014384178579415628</v>
      </c>
      <c r="I57" s="211">
        <f t="shared" si="7"/>
        <v>0.012345679012345678</v>
      </c>
      <c r="J57" s="211">
        <v>0.012658227848101255</v>
      </c>
      <c r="K57" s="211">
        <v>0.026766810199226113</v>
      </c>
      <c r="L57" s="211">
        <f t="shared" si="8"/>
        <v>0</v>
      </c>
      <c r="M57" s="212" t="e">
        <f>Toolbox!U44/SUM(Toolbox!U$9:U$89)</f>
        <v>#DIV/0!</v>
      </c>
      <c r="N57" s="28" t="e">
        <f t="shared" si="9"/>
        <v>#DIV/0!</v>
      </c>
      <c r="P57" s="72">
        <v>555</v>
      </c>
      <c r="Q57" s="21">
        <f>Reference!C46*5</f>
        <v>0.03776691480207723</v>
      </c>
      <c r="R57" s="21">
        <f>Reference!D46*5</f>
        <v>0.0416016289564678</v>
      </c>
      <c r="S57" s="21">
        <f>Reference!E46*5</f>
        <v>0.025301399296740607</v>
      </c>
      <c r="T57" s="21">
        <f>Reference!F46*5</f>
        <v>0.009241643347429654</v>
      </c>
      <c r="U57" s="69">
        <f>Reference!G46*5</f>
        <v>2.27120356787737E-05</v>
      </c>
      <c r="V57" s="182">
        <f>Reference!H46</f>
        <v>1</v>
      </c>
      <c r="X57" s="49">
        <v>555</v>
      </c>
      <c r="Y57" s="172">
        <f t="shared" si="10"/>
        <v>0.009241643347429654</v>
      </c>
    </row>
    <row r="58" spans="1:25" ht="15">
      <c r="A58" s="22">
        <v>560</v>
      </c>
      <c r="B58" s="40">
        <f t="shared" si="11"/>
        <v>4.177236667929939E-14</v>
      </c>
      <c r="C58" s="34">
        <f t="shared" si="6"/>
        <v>5.6E-07</v>
      </c>
      <c r="D58" s="34">
        <f t="shared" si="12"/>
        <v>6.117248979523024</v>
      </c>
      <c r="E58" s="41">
        <f t="shared" si="13"/>
        <v>4778133130097.535</v>
      </c>
      <c r="F58" s="211">
        <v>0.010458367992800626</v>
      </c>
      <c r="G58" s="211">
        <f t="shared" si="14"/>
        <v>0.013353193381197913</v>
      </c>
      <c r="H58" s="211">
        <v>0.014098956685664634</v>
      </c>
      <c r="I58" s="211">
        <f t="shared" si="7"/>
        <v>0.012345679012345678</v>
      </c>
      <c r="J58" s="211">
        <v>0.004763668192835978</v>
      </c>
      <c r="K58" s="211">
        <v>0.027646175777996464</v>
      </c>
      <c r="L58" s="211">
        <f t="shared" si="8"/>
        <v>0</v>
      </c>
      <c r="M58" s="212" t="e">
        <f>Toolbox!U45/SUM(Toolbox!U$9:U$89)</f>
        <v>#DIV/0!</v>
      </c>
      <c r="N58" s="28" t="e">
        <f t="shared" si="9"/>
        <v>#DIV/0!</v>
      </c>
      <c r="P58" s="72">
        <v>560</v>
      </c>
      <c r="Q58" s="21">
        <f>Reference!C47*5</f>
        <v>0.03872658052520972</v>
      </c>
      <c r="R58" s="21">
        <f>Reference!D47*5</f>
        <v>0.040423491010919514</v>
      </c>
      <c r="S58" s="21">
        <f>Reference!E47*5</f>
        <v>0.021211351886582144</v>
      </c>
      <c r="T58" s="21">
        <f>Reference!F47*5</f>
        <v>0.0067592209057174175</v>
      </c>
      <c r="U58" s="69">
        <f>Reference!G47*5</f>
        <v>1.456619309084585E-05</v>
      </c>
      <c r="V58" s="182">
        <f>Reference!H47</f>
        <v>0.995</v>
      </c>
      <c r="X58" s="49">
        <v>560</v>
      </c>
      <c r="Y58" s="172">
        <f t="shared" si="10"/>
        <v>0.0067592209057174175</v>
      </c>
    </row>
    <row r="59" spans="1:25" ht="15">
      <c r="A59" s="22">
        <v>565</v>
      </c>
      <c r="B59" s="40">
        <f t="shared" si="11"/>
        <v>4.448085322420588E-15</v>
      </c>
      <c r="C59" s="34">
        <f t="shared" si="6"/>
        <v>5.65E-07</v>
      </c>
      <c r="D59" s="34">
        <f t="shared" si="12"/>
        <v>6.063114032801582</v>
      </c>
      <c r="E59" s="41">
        <f t="shared" si="13"/>
        <v>4825252332384.469</v>
      </c>
      <c r="F59" s="211">
        <v>0.010832986734302743</v>
      </c>
      <c r="G59" s="211">
        <f t="shared" si="14"/>
        <v>0.013484874898429384</v>
      </c>
      <c r="H59" s="211">
        <v>0.013840536908573087</v>
      </c>
      <c r="I59" s="211">
        <f t="shared" si="7"/>
        <v>0.012345679012345678</v>
      </c>
      <c r="J59" s="211">
        <v>0.0032992189604093697</v>
      </c>
      <c r="K59" s="211">
        <v>0.02823420806489574</v>
      </c>
      <c r="L59" s="211">
        <f t="shared" si="8"/>
        <v>0</v>
      </c>
      <c r="M59" s="212" t="e">
        <f>Toolbox!U46/SUM(Toolbox!U$9:U$89)</f>
        <v>#DIV/0!</v>
      </c>
      <c r="N59" s="28" t="e">
        <f t="shared" si="9"/>
        <v>#DIV/0!</v>
      </c>
      <c r="P59" s="72">
        <v>565</v>
      </c>
      <c r="Q59" s="21">
        <f>Reference!C48*5</f>
        <v>0.03933937500800294</v>
      </c>
      <c r="R59" s="21">
        <f>Reference!D48*5</f>
        <v>0.03866699101275617</v>
      </c>
      <c r="S59" s="21">
        <f>Reference!E48*5</f>
        <v>0.017276067908558655</v>
      </c>
      <c r="T59" s="21">
        <f>Reference!F48*5</f>
        <v>0.0048100261182486</v>
      </c>
      <c r="U59" s="69">
        <f>Reference!G48*5</f>
        <v>9.393405514299106E-06</v>
      </c>
      <c r="V59" s="182">
        <f>Reference!H48</f>
        <v>0.9786</v>
      </c>
      <c r="X59" s="49">
        <v>565</v>
      </c>
      <c r="Y59" s="172">
        <f t="shared" si="10"/>
        <v>0.0048100261182486</v>
      </c>
    </row>
    <row r="60" spans="1:25" ht="15">
      <c r="A60" s="22">
        <v>570</v>
      </c>
      <c r="B60" s="40">
        <f t="shared" si="11"/>
        <v>4.3785140923984145E-16</v>
      </c>
      <c r="C60" s="34">
        <f t="shared" si="6"/>
        <v>5.7E-07</v>
      </c>
      <c r="D60" s="34">
        <f t="shared" si="12"/>
        <v>6.009928821987532</v>
      </c>
      <c r="E60" s="41">
        <f t="shared" si="13"/>
        <v>4870139188072.576</v>
      </c>
      <c r="F60" s="211">
        <v>0.011209697149403423</v>
      </c>
      <c r="G60" s="211">
        <f t="shared" si="14"/>
        <v>0.013610317795886909</v>
      </c>
      <c r="H60" s="211">
        <v>0.013582117131481539</v>
      </c>
      <c r="I60" s="211">
        <f t="shared" si="7"/>
        <v>0.012345679012345678</v>
      </c>
      <c r="J60" s="211">
        <v>0.0028110692162671667</v>
      </c>
      <c r="K60" s="211">
        <v>0.028512249046673075</v>
      </c>
      <c r="L60" s="211">
        <f t="shared" si="8"/>
        <v>0</v>
      </c>
      <c r="M60" s="212" t="e">
        <f>Toolbox!U47/SUM(Toolbox!U$9:U$89)</f>
        <v>#DIV/0!</v>
      </c>
      <c r="N60" s="28" t="e">
        <f t="shared" si="9"/>
        <v>#DIV/0!</v>
      </c>
      <c r="P60" s="72">
        <v>570</v>
      </c>
      <c r="Q60" s="21">
        <f>Reference!C49*5</f>
        <v>0.03965605781102625</v>
      </c>
      <c r="R60" s="21">
        <f>Reference!D49*5</f>
        <v>0.036452544517350756</v>
      </c>
      <c r="S60" s="21">
        <f>Reference!E49*5</f>
        <v>0.013684475684368147</v>
      </c>
      <c r="T60" s="21">
        <f>Reference!F49*5</f>
        <v>0.0033475871620129863</v>
      </c>
      <c r="U60" s="69">
        <f>Reference!G49*5</f>
        <v>6.104408549858098E-06</v>
      </c>
      <c r="V60" s="182">
        <f>Reference!H49</f>
        <v>0.952</v>
      </c>
      <c r="X60" s="49">
        <v>570</v>
      </c>
      <c r="Y60" s="172">
        <f t="shared" si="10"/>
        <v>0.0033475871620129863</v>
      </c>
    </row>
    <row r="61" spans="1:25" ht="15">
      <c r="A61" s="22">
        <v>575</v>
      </c>
      <c r="B61" s="40">
        <f t="shared" si="11"/>
        <v>3.984281450235794E-17</v>
      </c>
      <c r="C61" s="34">
        <f t="shared" si="6"/>
        <v>5.75E-07</v>
      </c>
      <c r="D61" s="34">
        <f t="shared" si="12"/>
        <v>5.957668571361555</v>
      </c>
      <c r="E61" s="41">
        <f t="shared" si="13"/>
        <v>4912811436111.304</v>
      </c>
      <c r="F61" s="211">
        <v>0.011588185487062877</v>
      </c>
      <c r="G61" s="211">
        <f t="shared" si="14"/>
        <v>0.013729571647664777</v>
      </c>
      <c r="H61" s="211">
        <v>0.01354361288077299</v>
      </c>
      <c r="I61" s="211">
        <f t="shared" si="7"/>
        <v>0.012345679012345678</v>
      </c>
      <c r="J61" s="211">
        <v>0.007456908160517095</v>
      </c>
      <c r="K61" s="211">
        <v>0.028472006272994777</v>
      </c>
      <c r="L61" s="211">
        <f t="shared" si="8"/>
        <v>0</v>
      </c>
      <c r="M61" s="212" t="e">
        <f>Toolbox!U48/SUM(Toolbox!U$9:U$89)</f>
        <v>#DIV/0!</v>
      </c>
      <c r="N61" s="28" t="e">
        <f t="shared" si="9"/>
        <v>#DIV/0!</v>
      </c>
      <c r="P61" s="72">
        <v>575</v>
      </c>
      <c r="Q61" s="21">
        <f>Reference!C50*5</f>
        <v>0.039548947122435896</v>
      </c>
      <c r="R61" s="21">
        <f>Reference!D50*5</f>
        <v>0.03375354403487107</v>
      </c>
      <c r="S61" s="21">
        <f>Reference!E50*5</f>
        <v>0.010511937482254367</v>
      </c>
      <c r="T61" s="21">
        <f>Reference!F50*5</f>
        <v>0.002281607509444549</v>
      </c>
      <c r="U61" s="69">
        <f>Reference!G50*5</f>
        <v>3.987982270660925E-06</v>
      </c>
      <c r="V61" s="182">
        <f>Reference!H50</f>
        <v>0.9154</v>
      </c>
      <c r="X61" s="49">
        <v>575</v>
      </c>
      <c r="Y61" s="172">
        <f t="shared" si="10"/>
        <v>0.002281607509444549</v>
      </c>
    </row>
    <row r="62" spans="1:25" ht="15">
      <c r="A62" s="22">
        <v>580</v>
      </c>
      <c r="B62" s="40">
        <f t="shared" si="11"/>
        <v>3.351528232108686E-18</v>
      </c>
      <c r="C62" s="34">
        <f t="shared" si="6"/>
        <v>5.8E-07</v>
      </c>
      <c r="D62" s="34">
        <f t="shared" si="12"/>
        <v>5.906309359539473</v>
      </c>
      <c r="E62" s="41">
        <f t="shared" si="13"/>
        <v>4953289561990.837</v>
      </c>
      <c r="F62" s="211">
        <v>0.011968137996241324</v>
      </c>
      <c r="G62" s="211">
        <f t="shared" si="14"/>
        <v>0.013842693703467948</v>
      </c>
      <c r="H62" s="211">
        <v>0.013505108630064438</v>
      </c>
      <c r="I62" s="211">
        <f t="shared" si="7"/>
        <v>0.012345679012345678</v>
      </c>
      <c r="J62" s="211">
        <v>0.018987341772151882</v>
      </c>
      <c r="K62" s="211">
        <v>0.028115308960846217</v>
      </c>
      <c r="L62" s="211">
        <f t="shared" si="8"/>
        <v>0</v>
      </c>
      <c r="M62" s="212" t="e">
        <f>Toolbox!U49/SUM(Toolbox!U$9:U$89)</f>
        <v>#DIV/0!</v>
      </c>
      <c r="N62" s="28" t="e">
        <f t="shared" si="9"/>
        <v>#DIV/0!</v>
      </c>
      <c r="P62" s="72">
        <v>580</v>
      </c>
      <c r="Q62" s="21">
        <f>Reference!C51*5</f>
        <v>0.03907768171049715</v>
      </c>
      <c r="R62" s="21">
        <f>Reference!D51*5</f>
        <v>0.030736937646701323</v>
      </c>
      <c r="S62" s="21">
        <f>Reference!E51*5</f>
        <v>0.007852879241941953</v>
      </c>
      <c r="T62" s="21">
        <f>Reference!F51*5</f>
        <v>0.0015325992514067786</v>
      </c>
      <c r="U62" s="69">
        <f>Reference!G51*5</f>
        <v>2.6247659922145985E-06</v>
      </c>
      <c r="V62" s="182">
        <f>Reference!H51</f>
        <v>0.87</v>
      </c>
      <c r="X62" s="49">
        <v>580</v>
      </c>
      <c r="Y62" s="172">
        <f t="shared" si="10"/>
        <v>0.0015325992514067786</v>
      </c>
    </row>
    <row r="63" spans="1:25" ht="15">
      <c r="A63" s="22">
        <v>585</v>
      </c>
      <c r="B63" s="40">
        <f t="shared" si="11"/>
        <v>2.6061857733205087E-19</v>
      </c>
      <c r="C63" s="34">
        <f t="shared" si="6"/>
        <v>5.85E-07</v>
      </c>
      <c r="D63" s="34">
        <f t="shared" si="12"/>
        <v>5.855828082962211</v>
      </c>
      <c r="E63" s="41">
        <f t="shared" si="13"/>
        <v>4991596583894.154</v>
      </c>
      <c r="F63" s="211">
        <v>0.012349240925898978</v>
      </c>
      <c r="G63" s="211">
        <f t="shared" si="14"/>
        <v>0.013949748290982621</v>
      </c>
      <c r="H63" s="211">
        <v>0.013004426480243117</v>
      </c>
      <c r="I63" s="211">
        <f t="shared" si="7"/>
        <v>0.012345679012345678</v>
      </c>
      <c r="J63" s="211">
        <v>0.024845138701858314</v>
      </c>
      <c r="K63" s="211">
        <v>0.027453864098933807</v>
      </c>
      <c r="L63" s="211">
        <f t="shared" si="8"/>
        <v>0</v>
      </c>
      <c r="M63" s="212" t="e">
        <f>Toolbox!U50/SUM(Toolbox!U$9:U$89)</f>
        <v>#DIV/0!</v>
      </c>
      <c r="N63" s="28" t="e">
        <f t="shared" si="9"/>
        <v>#DIV/0!</v>
      </c>
      <c r="P63" s="72">
        <v>585</v>
      </c>
      <c r="Q63" s="21">
        <f>Reference!C52*5</f>
        <v>0.03821874634599412</v>
      </c>
      <c r="R63" s="21">
        <f>Reference!D52*5</f>
        <v>0.027498060459816964</v>
      </c>
      <c r="S63" s="21">
        <f>Reference!E52*5</f>
        <v>0.005714952659259014</v>
      </c>
      <c r="T63" s="21">
        <f>Reference!F52*5</f>
        <v>0.001018650809946287</v>
      </c>
      <c r="U63" s="69">
        <f>Reference!G52*5</f>
        <v>1.7401638122045215E-06</v>
      </c>
      <c r="V63" s="182">
        <f>Reference!H52</f>
        <v>0.8163</v>
      </c>
      <c r="X63" s="49">
        <v>585</v>
      </c>
      <c r="Y63" s="172">
        <f t="shared" si="10"/>
        <v>0.001018650809946287</v>
      </c>
    </row>
    <row r="64" spans="1:25" ht="15">
      <c r="A64" s="22">
        <v>590</v>
      </c>
      <c r="B64" s="40">
        <f t="shared" si="11"/>
        <v>1.873430008091362E-20</v>
      </c>
      <c r="C64" s="34">
        <f t="shared" si="6"/>
        <v>5.9E-07</v>
      </c>
      <c r="D64" s="34">
        <f t="shared" si="12"/>
        <v>5.806202421242193</v>
      </c>
      <c r="E64" s="41">
        <f t="shared" si="13"/>
        <v>5027757846746.048</v>
      </c>
      <c r="F64" s="211">
        <v>0.012731075941316129</v>
      </c>
      <c r="G64" s="211">
        <f t="shared" si="14"/>
        <v>0.014050806240316027</v>
      </c>
      <c r="H64" s="211">
        <v>0.012503744330421793</v>
      </c>
      <c r="I64" s="211">
        <f t="shared" si="7"/>
        <v>0.012345679012345678</v>
      </c>
      <c r="J64" s="211">
        <v>0.021428090492862897</v>
      </c>
      <c r="K64" s="211">
        <v>0.026508402813091827</v>
      </c>
      <c r="L64" s="211">
        <f t="shared" si="8"/>
        <v>0</v>
      </c>
      <c r="M64" s="212" t="e">
        <f>Toolbox!U51/SUM(Toolbox!U$9:U$89)</f>
        <v>#DIV/0!</v>
      </c>
      <c r="N64" s="28" t="e">
        <f t="shared" si="9"/>
        <v>#DIV/0!</v>
      </c>
      <c r="P64" s="72">
        <v>590</v>
      </c>
      <c r="Q64" s="21">
        <f>Reference!C53*5</f>
        <v>0.03696084642708962</v>
      </c>
      <c r="R64" s="21">
        <f>Reference!D53*5</f>
        <v>0.024142065222483848</v>
      </c>
      <c r="S64" s="21">
        <f>Reference!E53*5</f>
        <v>0.004063184032169466</v>
      </c>
      <c r="T64" s="21">
        <f>Reference!F53*5</f>
        <v>0.00067236234451475</v>
      </c>
      <c r="U64" s="69">
        <f>Reference!G53*5</f>
        <v>1.1619407019491879E-06</v>
      </c>
      <c r="V64" s="182">
        <f>Reference!H53</f>
        <v>0.757</v>
      </c>
      <c r="X64" s="49">
        <v>590</v>
      </c>
      <c r="Y64" s="172">
        <f t="shared" si="10"/>
        <v>0.00067236234451475</v>
      </c>
    </row>
    <row r="65" spans="1:25" ht="15">
      <c r="A65" s="22">
        <v>595</v>
      </c>
      <c r="B65" s="40">
        <f t="shared" si="11"/>
        <v>1.2449135386734925E-21</v>
      </c>
      <c r="C65" s="34">
        <f t="shared" si="6"/>
        <v>5.95E-07</v>
      </c>
      <c r="D65" s="34">
        <f t="shared" si="12"/>
        <v>5.757410804256964</v>
      </c>
      <c r="E65" s="41">
        <f t="shared" si="13"/>
        <v>5061800824327.072</v>
      </c>
      <c r="F65" s="211">
        <v>0.013113329291452992</v>
      </c>
      <c r="G65" s="211">
        <f t="shared" si="14"/>
        <v>0.014145944330974861</v>
      </c>
      <c r="H65" s="211">
        <v>0.012596839741417237</v>
      </c>
      <c r="I65" s="211">
        <f t="shared" si="7"/>
        <v>0.012345679012345678</v>
      </c>
      <c r="J65" s="211">
        <v>0.016395098303258807</v>
      </c>
      <c r="K65" s="211">
        <v>0.025307338940493126</v>
      </c>
      <c r="L65" s="211">
        <f t="shared" si="8"/>
        <v>0</v>
      </c>
      <c r="M65" s="212" t="e">
        <f>Toolbox!U52/SUM(Toolbox!U$9:U$89)</f>
        <v>#DIV/0!</v>
      </c>
      <c r="N65" s="28" t="e">
        <f t="shared" si="9"/>
        <v>#DIV/0!</v>
      </c>
      <c r="P65" s="72">
        <v>595</v>
      </c>
      <c r="Q65" s="21">
        <f>Reference!C54*5</f>
        <v>0.03522798583171381</v>
      </c>
      <c r="R65" s="21">
        <f>Reference!D54*5</f>
        <v>0.020728609620956483</v>
      </c>
      <c r="S65" s="21">
        <f>Reference!E54*5</f>
        <v>0.0028259994390343827</v>
      </c>
      <c r="T65" s="21">
        <f>Reference!F54*5</f>
        <v>0.0004410675977298203</v>
      </c>
      <c r="U65" s="69">
        <f>Reference!G54*5</f>
        <v>7.794768437616265E-07</v>
      </c>
      <c r="V65" s="182">
        <f>Reference!H54</f>
        <v>0.6949</v>
      </c>
      <c r="X65" s="49">
        <v>595</v>
      </c>
      <c r="Y65" s="172">
        <f t="shared" si="10"/>
        <v>0.0004410675977298203</v>
      </c>
    </row>
    <row r="66" spans="1:25" ht="15">
      <c r="A66" s="22">
        <v>600</v>
      </c>
      <c r="B66" s="40">
        <f t="shared" si="11"/>
        <v>7.647342171803124E-23</v>
      </c>
      <c r="C66" s="34">
        <f t="shared" si="6"/>
        <v>6E-07</v>
      </c>
      <c r="D66" s="34">
        <f t="shared" si="12"/>
        <v>5.709432380888156</v>
      </c>
      <c r="E66" s="41">
        <f t="shared" si="13"/>
        <v>5093754929558.529</v>
      </c>
      <c r="F66" s="211">
        <v>0.013495791808949713</v>
      </c>
      <c r="G66" s="211">
        <f t="shared" si="14"/>
        <v>0.014235244761678869</v>
      </c>
      <c r="H66" s="211">
        <v>0.012689935152412683</v>
      </c>
      <c r="I66" s="211">
        <f t="shared" si="7"/>
        <v>0.012345679012345678</v>
      </c>
      <c r="J66" s="211">
        <v>0.012338405601939122</v>
      </c>
      <c r="K66" s="211">
        <v>0.023886037342855014</v>
      </c>
      <c r="L66" s="211">
        <f t="shared" si="8"/>
        <v>0</v>
      </c>
      <c r="M66" s="212" t="e">
        <f>Toolbox!U53/SUM(Toolbox!U$9:U$89)</f>
        <v>#DIV/0!</v>
      </c>
      <c r="N66" s="28" t="e">
        <f t="shared" si="9"/>
        <v>#DIV/0!</v>
      </c>
      <c r="P66" s="72">
        <v>600</v>
      </c>
      <c r="Q66" s="21">
        <f>Reference!C55*5</f>
        <v>0.033135371066077564</v>
      </c>
      <c r="R66" s="21">
        <f>Reference!D55*5</f>
        <v>0.01742404959369285</v>
      </c>
      <c r="S66" s="21">
        <f>Reference!E55*5</f>
        <v>0.001934966669540909</v>
      </c>
      <c r="T66" s="21">
        <f>Reference!F55*5</f>
        <v>0.00028895062515421404</v>
      </c>
      <c r="U66" s="69">
        <f>Reference!G55*5</f>
        <v>5.264764484558213E-07</v>
      </c>
      <c r="V66" s="182">
        <f>Reference!H55</f>
        <v>0.631</v>
      </c>
      <c r="X66" s="49">
        <v>600</v>
      </c>
      <c r="Y66" s="172">
        <f t="shared" si="10"/>
        <v>0.00028895062515421404</v>
      </c>
    </row>
    <row r="67" spans="1:25" ht="15">
      <c r="A67" s="22">
        <v>605</v>
      </c>
      <c r="B67" s="40">
        <f t="shared" si="11"/>
        <v>4.3426164213972184E-24</v>
      </c>
      <c r="C67" s="34">
        <f t="shared" si="6"/>
        <v>6.05E-07</v>
      </c>
      <c r="D67" s="34">
        <f t="shared" si="12"/>
        <v>5.662246989310568</v>
      </c>
      <c r="E67" s="41">
        <f t="shared" si="13"/>
        <v>5123651333009.512</v>
      </c>
      <c r="F67" s="211">
        <v>0.013877940575406646</v>
      </c>
      <c r="G67" s="211">
        <f t="shared" si="14"/>
        <v>0.014318794643152164</v>
      </c>
      <c r="H67" s="211">
        <v>0.012661229676600667</v>
      </c>
      <c r="I67" s="211">
        <f t="shared" si="7"/>
        <v>0.012345679012345678</v>
      </c>
      <c r="J67" s="211">
        <v>0.016361432803662795</v>
      </c>
      <c r="K67" s="211">
        <v>0.02252546574913142</v>
      </c>
      <c r="L67" s="211">
        <f t="shared" si="8"/>
        <v>0</v>
      </c>
      <c r="M67" s="212" t="e">
        <f>Toolbox!U54/SUM(Toolbox!U$9:U$89)</f>
        <v>#DIV/0!</v>
      </c>
      <c r="N67" s="28" t="e">
        <f t="shared" si="9"/>
        <v>#DIV/0!</v>
      </c>
      <c r="P67" s="72">
        <v>605</v>
      </c>
      <c r="Q67" s="21">
        <f>Reference!C56*5</f>
        <v>0.030694110002772588</v>
      </c>
      <c r="R67" s="21">
        <f>Reference!D56*5</f>
        <v>0.014304775218872131</v>
      </c>
      <c r="S67" s="21">
        <f>Reference!E56*5</f>
        <v>0.0013079747629810025</v>
      </c>
      <c r="T67" s="21">
        <f>Reference!F56*5</f>
        <v>0.00018919805095792412</v>
      </c>
      <c r="U67" s="69">
        <f>Reference!G56*5</f>
        <v>3.5755492480468865E-07</v>
      </c>
      <c r="V67" s="182">
        <f>Reference!H56</f>
        <v>0.5668</v>
      </c>
      <c r="X67" s="49">
        <v>605</v>
      </c>
      <c r="Y67" s="172">
        <f t="shared" si="10"/>
        <v>0.00018919805095792412</v>
      </c>
    </row>
    <row r="68" spans="1:25" ht="15">
      <c r="A68" s="22">
        <v>610</v>
      </c>
      <c r="B68" s="40">
        <f t="shared" si="11"/>
        <v>2.27961776598822E-25</v>
      </c>
      <c r="C68" s="34">
        <f t="shared" si="6"/>
        <v>6.1E-07</v>
      </c>
      <c r="D68" s="34">
        <f t="shared" si="12"/>
        <v>5.615835128742449</v>
      </c>
      <c r="E68" s="41">
        <f t="shared" si="13"/>
        <v>5151522789628.24</v>
      </c>
      <c r="F68" s="211">
        <v>0.01425956642346394</v>
      </c>
      <c r="G68" s="211">
        <f t="shared" si="14"/>
        <v>0.01439668551389857</v>
      </c>
      <c r="H68" s="211">
        <v>0.012632538299745342</v>
      </c>
      <c r="I68" s="211">
        <f t="shared" si="7"/>
        <v>0.012345679012345678</v>
      </c>
      <c r="J68" s="211">
        <v>0.09303460813358463</v>
      </c>
      <c r="K68" s="211">
        <v>0.02124513580716638</v>
      </c>
      <c r="L68" s="211">
        <f t="shared" si="8"/>
        <v>0</v>
      </c>
      <c r="M68" s="212" t="e">
        <f>Toolbox!U55/SUM(Toolbox!U$9:U$89)</f>
        <v>#DIV/0!</v>
      </c>
      <c r="N68" s="28" t="e">
        <f t="shared" si="9"/>
        <v>#DIV/0!</v>
      </c>
      <c r="P68" s="72">
        <v>610</v>
      </c>
      <c r="Q68" s="21">
        <f>Reference!C57*5</f>
        <v>0.028009067673219517</v>
      </c>
      <c r="R68" s="21">
        <f>Reference!D57*5</f>
        <v>0.011471736649780339</v>
      </c>
      <c r="S68" s="21">
        <f>Reference!E57*5</f>
        <v>0.0008770650801312443</v>
      </c>
      <c r="T68" s="21">
        <f>Reference!F57*5</f>
        <v>0.00012414752152453898</v>
      </c>
      <c r="U68" s="69">
        <f>Reference!G57*5</f>
        <v>2.444146607068582E-07</v>
      </c>
      <c r="V68" s="182">
        <f>Reference!H57</f>
        <v>0.503</v>
      </c>
      <c r="X68" s="49">
        <v>610</v>
      </c>
      <c r="Y68" s="172">
        <f t="shared" si="10"/>
        <v>0.00012414752152453898</v>
      </c>
    </row>
    <row r="69" spans="1:25" ht="15">
      <c r="A69" s="22">
        <v>615</v>
      </c>
      <c r="B69" s="40">
        <f t="shared" si="11"/>
        <v>1.1062217945738983E-26</v>
      </c>
      <c r="C69" s="34">
        <f t="shared" si="6"/>
        <v>6.15E-07</v>
      </c>
      <c r="D69" s="34">
        <f t="shared" si="12"/>
        <v>5.570177932573811</v>
      </c>
      <c r="E69" s="41">
        <f t="shared" si="13"/>
        <v>5177403473656.856</v>
      </c>
      <c r="F69" s="211">
        <v>0.01464046018576174</v>
      </c>
      <c r="G69" s="211">
        <f t="shared" si="14"/>
        <v>0.0144690128788468</v>
      </c>
      <c r="H69" s="211">
        <v>0.012498570013318154</v>
      </c>
      <c r="I69" s="211">
        <f t="shared" si="7"/>
        <v>0.012345679012345678</v>
      </c>
      <c r="J69" s="211">
        <v>0.07167384863991376</v>
      </c>
      <c r="K69" s="211">
        <v>0.020033218580454447</v>
      </c>
      <c r="L69" s="211">
        <f t="shared" si="8"/>
        <v>0</v>
      </c>
      <c r="M69" s="212" t="e">
        <f>Toolbox!U56/SUM(Toolbox!U$9:U$89)</f>
        <v>#DIV/0!</v>
      </c>
      <c r="N69" s="28" t="e">
        <f t="shared" si="9"/>
        <v>#DIV/0!</v>
      </c>
      <c r="P69" s="72">
        <v>615</v>
      </c>
      <c r="Q69" s="21">
        <f>Reference!C58*5</f>
        <v>0.02515647028679239</v>
      </c>
      <c r="R69" s="21">
        <f>Reference!D58*5</f>
        <v>0.008981731963633452</v>
      </c>
      <c r="S69" s="21">
        <f>Reference!E58*5</f>
        <v>0.0005852398010257519</v>
      </c>
      <c r="T69" s="21">
        <f>Reference!F58*5</f>
        <v>8.172859497592239E-05</v>
      </c>
      <c r="U69" s="69">
        <f>Reference!G58*5</f>
        <v>1.6813814954267143E-07</v>
      </c>
      <c r="V69" s="182">
        <f>Reference!H58</f>
        <v>0.4412</v>
      </c>
      <c r="X69" s="49">
        <v>615</v>
      </c>
      <c r="Y69" s="172">
        <f t="shared" si="10"/>
        <v>8.172859497592239E-05</v>
      </c>
    </row>
    <row r="70" spans="1:25" ht="15">
      <c r="A70" s="22">
        <v>620</v>
      </c>
      <c r="B70" s="40">
        <f t="shared" si="11"/>
        <v>4.962402686450657E-28</v>
      </c>
      <c r="C70" s="34">
        <f t="shared" si="6"/>
        <v>6.2E-07</v>
      </c>
      <c r="D70" s="34">
        <f t="shared" si="12"/>
        <v>5.52525714279499</v>
      </c>
      <c r="E70" s="41">
        <f t="shared" si="13"/>
        <v>5201328821651.537</v>
      </c>
      <c r="F70" s="211">
        <v>0.015020098943900401</v>
      </c>
      <c r="G70" s="211">
        <f t="shared" si="14"/>
        <v>0.01453587577064716</v>
      </c>
      <c r="H70" s="211">
        <v>0.01236460172689097</v>
      </c>
      <c r="I70" s="211">
        <f t="shared" si="7"/>
        <v>0.012345679012345678</v>
      </c>
      <c r="J70" s="211">
        <v>0.02218556423377321</v>
      </c>
      <c r="K70" s="211">
        <v>0.01888068993186776</v>
      </c>
      <c r="L70" s="211">
        <f t="shared" si="8"/>
        <v>0</v>
      </c>
      <c r="M70" s="212" t="e">
        <f>Toolbox!U57/SUM(Toolbox!U$9:U$89)</f>
        <v>#DIV/0!</v>
      </c>
      <c r="N70" s="28" t="e">
        <f t="shared" si="9"/>
        <v>#DIV/0!</v>
      </c>
      <c r="P70" s="72">
        <v>620</v>
      </c>
      <c r="Q70" s="21">
        <f>Reference!C59*5</f>
        <v>0.022218812668755257</v>
      </c>
      <c r="R70" s="21">
        <f>Reference!D59*5</f>
        <v>0.006866738501871114</v>
      </c>
      <c r="S70" s="21">
        <f>Reference!E59*5</f>
        <v>0.0003896068362284274</v>
      </c>
      <c r="T70" s="21">
        <f>Reference!F59*5</f>
        <v>5.4022907974922054E-05</v>
      </c>
      <c r="U70" s="69">
        <f>Reference!G59*5</f>
        <v>1.1638448612632621E-07</v>
      </c>
      <c r="V70" s="182">
        <f>Reference!H59</f>
        <v>0.381</v>
      </c>
      <c r="X70" s="49">
        <v>620</v>
      </c>
      <c r="Y70" s="172">
        <f t="shared" si="10"/>
        <v>5.4022907974922054E-05</v>
      </c>
    </row>
    <row r="71" spans="1:25" ht="15">
      <c r="A71" s="22">
        <v>625</v>
      </c>
      <c r="B71" s="40">
        <f t="shared" si="11"/>
        <v>2.0578390817539487E-29</v>
      </c>
      <c r="C71" s="34">
        <f t="shared" si="6"/>
        <v>6.25E-07</v>
      </c>
      <c r="D71" s="34">
        <f t="shared" si="12"/>
        <v>5.481055085652629</v>
      </c>
      <c r="E71" s="41">
        <f t="shared" si="13"/>
        <v>5223335383497.002</v>
      </c>
      <c r="F71" s="211">
        <v>0.015398378114200003</v>
      </c>
      <c r="G71" s="211">
        <f t="shared" si="14"/>
        <v>0.014597376333309755</v>
      </c>
      <c r="H71" s="211">
        <v>0.01205370563301538</v>
      </c>
      <c r="I71" s="211">
        <f t="shared" si="7"/>
        <v>0.012345679012345678</v>
      </c>
      <c r="J71" s="211">
        <v>0.022151898734177198</v>
      </c>
      <c r="K71" s="211">
        <v>0.017780964680258964</v>
      </c>
      <c r="L71" s="211">
        <f t="shared" si="8"/>
        <v>0</v>
      </c>
      <c r="M71" s="212" t="e">
        <f>Toolbox!U58/SUM(Toolbox!U$9:U$89)</f>
        <v>#DIV/0!</v>
      </c>
      <c r="N71" s="28" t="e">
        <f t="shared" si="9"/>
        <v>#DIV/0!</v>
      </c>
      <c r="P71" s="72">
        <v>625</v>
      </c>
      <c r="Q71" s="21">
        <f>Reference!C60*5</f>
        <v>0.019235074365196517</v>
      </c>
      <c r="R71" s="21">
        <f>Reference!D60*5</f>
        <v>0.005119807716898503</v>
      </c>
      <c r="S71" s="21">
        <f>Reference!E60*5</f>
        <v>0.0002587019859299924</v>
      </c>
      <c r="T71" s="21">
        <f>Reference!F60*5</f>
        <v>3.5793198206325926E-05</v>
      </c>
      <c r="U71" s="69">
        <f>Reference!G60*5</f>
        <v>8.086313982891415E-08</v>
      </c>
      <c r="V71" s="182">
        <f>Reference!H60</f>
        <v>0.321</v>
      </c>
      <c r="X71" s="49">
        <v>625</v>
      </c>
      <c r="Y71" s="172">
        <f t="shared" si="10"/>
        <v>3.5793198206325926E-05</v>
      </c>
    </row>
    <row r="72" spans="1:25" ht="15">
      <c r="A72" s="22">
        <v>630</v>
      </c>
      <c r="B72" s="40">
        <f t="shared" si="11"/>
        <v>7.888609052210105E-31</v>
      </c>
      <c r="C72" s="34">
        <f t="shared" si="6"/>
        <v>6.3E-07</v>
      </c>
      <c r="D72" s="34">
        <f t="shared" si="12"/>
        <v>5.437554648464911</v>
      </c>
      <c r="E72" s="41">
        <f t="shared" si="13"/>
        <v>5243460681276.692</v>
      </c>
      <c r="F72" s="211">
        <v>0.015774983945620755</v>
      </c>
      <c r="G72" s="211">
        <f t="shared" si="14"/>
        <v>0.014653619427796517</v>
      </c>
      <c r="H72" s="211">
        <v>0.011742823638096474</v>
      </c>
      <c r="I72" s="211">
        <f t="shared" si="7"/>
        <v>0.012345679012345678</v>
      </c>
      <c r="J72" s="211">
        <v>0.020636951252356567</v>
      </c>
      <c r="K72" s="211">
        <v>0.016729042965868027</v>
      </c>
      <c r="L72" s="211">
        <f t="shared" si="8"/>
        <v>0</v>
      </c>
      <c r="M72" s="212" t="e">
        <f>Toolbox!U59/SUM(Toolbox!U$9:U$89)</f>
        <v>#DIV/0!</v>
      </c>
      <c r="N72" s="28" t="e">
        <f t="shared" si="9"/>
        <v>#DIV/0!</v>
      </c>
      <c r="P72" s="72">
        <v>630</v>
      </c>
      <c r="Q72" s="21">
        <f>Reference!C61*5</f>
        <v>0.016342516062902004</v>
      </c>
      <c r="R72" s="21">
        <f>Reference!D61*5</f>
        <v>0.003738512379957334</v>
      </c>
      <c r="S72" s="21">
        <f>Reference!E61*5</f>
        <v>0.00017200460963995922</v>
      </c>
      <c r="T72" s="21">
        <f>Reference!F61*5</f>
        <v>2.3834955276406978E-05</v>
      </c>
      <c r="U72" s="69">
        <f>Reference!G61*5</f>
        <v>5.651598099235681E-08</v>
      </c>
      <c r="V72" s="182">
        <f>Reference!H61</f>
        <v>0.265</v>
      </c>
      <c r="X72" s="49">
        <v>630</v>
      </c>
      <c r="Y72" s="172">
        <f t="shared" si="10"/>
        <v>2.3834955276406978E-05</v>
      </c>
    </row>
    <row r="73" spans="1:25" ht="15">
      <c r="A73" s="22">
        <v>635</v>
      </c>
      <c r="B73" s="40">
        <f t="shared" si="11"/>
        <v>2.795497262273848E-32</v>
      </c>
      <c r="C73" s="34">
        <f t="shared" si="6"/>
        <v>6.35E-07</v>
      </c>
      <c r="D73" s="34">
        <f t="shared" si="12"/>
        <v>5.394739257532116</v>
      </c>
      <c r="E73" s="41">
        <f t="shared" si="13"/>
        <v>5261743075835.863</v>
      </c>
      <c r="F73" s="211">
        <v>0.01614960268712287</v>
      </c>
      <c r="G73" s="211">
        <f t="shared" si="14"/>
        <v>0.014704712259112204</v>
      </c>
      <c r="H73" s="211">
        <v>0.011771768796172142</v>
      </c>
      <c r="I73" s="211">
        <f t="shared" si="7"/>
        <v>0.012345679012345678</v>
      </c>
      <c r="J73" s="211">
        <v>0.008601535146781572</v>
      </c>
      <c r="K73" s="211">
        <v>0.01572211998931737</v>
      </c>
      <c r="L73" s="211">
        <f t="shared" si="8"/>
        <v>0</v>
      </c>
      <c r="M73" s="212" t="e">
        <f>Toolbox!U60/SUM(Toolbox!U$9:U$89)</f>
        <v>#DIV/0!</v>
      </c>
      <c r="N73" s="28" t="e">
        <f t="shared" si="9"/>
        <v>#DIV/0!</v>
      </c>
      <c r="P73" s="72">
        <v>635</v>
      </c>
      <c r="Q73" s="21">
        <f>Reference!C62*5</f>
        <v>0.013612561382356874</v>
      </c>
      <c r="R73" s="21">
        <f>Reference!D62*5</f>
        <v>0.002680536163364019</v>
      </c>
      <c r="S73" s="21">
        <f>Reference!E62*5</f>
        <v>0.00011464769179512662</v>
      </c>
      <c r="T73" s="21">
        <f>Reference!F62*5</f>
        <v>1.5956351272026374E-05</v>
      </c>
      <c r="U73" s="69">
        <f>Reference!G62*5</f>
        <v>3.972804929191972E-08</v>
      </c>
      <c r="V73" s="182">
        <f>Reference!H62</f>
        <v>0.217</v>
      </c>
      <c r="X73" s="49">
        <v>635</v>
      </c>
      <c r="Y73" s="172">
        <f t="shared" si="10"/>
        <v>1.5956351272026374E-05</v>
      </c>
    </row>
    <row r="74" spans="1:25" ht="15">
      <c r="A74" s="22">
        <v>640</v>
      </c>
      <c r="B74" s="40">
        <f t="shared" si="11"/>
        <v>9.157719224878982E-34</v>
      </c>
      <c r="C74" s="34">
        <f t="shared" si="6"/>
        <v>6.4E-07</v>
      </c>
      <c r="D74" s="34">
        <f t="shared" si="12"/>
        <v>5.352592857082646</v>
      </c>
      <c r="E74" s="41">
        <f t="shared" si="13"/>
        <v>5278221640854.853</v>
      </c>
      <c r="F74" s="211">
        <v>0.016522025171346502</v>
      </c>
      <c r="G74" s="211">
        <f t="shared" si="14"/>
        <v>0.0147507640243837</v>
      </c>
      <c r="H74" s="211">
        <v>0.011800713954247814</v>
      </c>
      <c r="I74" s="211">
        <f t="shared" si="7"/>
        <v>0.012345679012345678</v>
      </c>
      <c r="J74" s="211">
        <v>0.003484379208187446</v>
      </c>
      <c r="K74" s="211">
        <v>0.014758366533621616</v>
      </c>
      <c r="L74" s="211">
        <f t="shared" si="8"/>
        <v>0</v>
      </c>
      <c r="M74" s="212" t="e">
        <f>Toolbox!U61/SUM(Toolbox!U$9:U$89)</f>
        <v>#DIV/0!</v>
      </c>
      <c r="N74" s="28" t="e">
        <f t="shared" si="9"/>
        <v>#DIV/0!</v>
      </c>
      <c r="P74" s="72">
        <v>640</v>
      </c>
      <c r="Q74" s="21">
        <f>Reference!C63*5</f>
        <v>0.011105804873199364</v>
      </c>
      <c r="R74" s="21">
        <f>Reference!D63*5</f>
        <v>0.0018929866089585795</v>
      </c>
      <c r="S74" s="21">
        <f>Reference!E63*5</f>
        <v>7.667573515072143E-05</v>
      </c>
      <c r="T74" s="21">
        <f>Reference!F63*5</f>
        <v>1.0740606974263538E-05</v>
      </c>
      <c r="U74" s="69">
        <f>Reference!G63*5</f>
        <v>2.8084733619519035E-08</v>
      </c>
      <c r="V74" s="182">
        <f>Reference!H63</f>
        <v>0.175</v>
      </c>
      <c r="X74" s="49">
        <v>640</v>
      </c>
      <c r="Y74" s="172">
        <f t="shared" si="10"/>
        <v>1.0740606974263538E-05</v>
      </c>
    </row>
    <row r="75" spans="1:25" ht="15">
      <c r="A75" s="22">
        <v>645</v>
      </c>
      <c r="B75" s="40">
        <f t="shared" si="11"/>
        <v>2.7732255429236977E-35</v>
      </c>
      <c r="C75" s="34">
        <f t="shared" si="6"/>
        <v>6.45E-07</v>
      </c>
      <c r="D75" s="34">
        <f t="shared" si="12"/>
        <v>5.311099889198285</v>
      </c>
      <c r="E75" s="41">
        <f t="shared" si="13"/>
        <v>5292936044233.12</v>
      </c>
      <c r="F75" s="211">
        <v>0.01689193764725186</v>
      </c>
      <c r="G75" s="211">
        <f t="shared" si="14"/>
        <v>0.01479188558137032</v>
      </c>
      <c r="H75" s="211">
        <v>0.011541828911585639</v>
      </c>
      <c r="I75" s="211">
        <f t="shared" si="7"/>
        <v>0.012345679012345678</v>
      </c>
      <c r="J75" s="211">
        <v>0.003938863452733635</v>
      </c>
      <c r="K75" s="211">
        <v>0.013836928964187587</v>
      </c>
      <c r="L75" s="211">
        <f t="shared" si="8"/>
        <v>0</v>
      </c>
      <c r="M75" s="212" t="e">
        <f>Toolbox!U62/SUM(Toolbox!U$9:U$89)</f>
        <v>#DIV/0!</v>
      </c>
      <c r="N75" s="28" t="e">
        <f t="shared" si="9"/>
        <v>#DIV/0!</v>
      </c>
      <c r="P75" s="72">
        <v>645</v>
      </c>
      <c r="Q75" s="21">
        <f>Reference!C64*5</f>
        <v>0.008858754948979131</v>
      </c>
      <c r="R75" s="21">
        <f>Reference!D64*5</f>
        <v>0.0013193576436875485</v>
      </c>
      <c r="S75" s="21">
        <f>Reference!E64*5</f>
        <v>5.142743101603872E-05</v>
      </c>
      <c r="T75" s="21">
        <f>Reference!F64*5</f>
        <v>7.261702682774408E-06</v>
      </c>
      <c r="U75" s="69">
        <f>Reference!G64*5</f>
        <v>1.9940402384765194E-08</v>
      </c>
      <c r="V75" s="182">
        <f>Reference!H64</f>
        <v>0.1382</v>
      </c>
      <c r="X75" s="49">
        <v>645</v>
      </c>
      <c r="Y75" s="172">
        <f t="shared" si="10"/>
        <v>7.261702682774408E-06</v>
      </c>
    </row>
    <row r="76" spans="1:25" ht="15">
      <c r="A76" s="22">
        <v>650</v>
      </c>
      <c r="B76" s="40">
        <f t="shared" si="11"/>
        <v>7.76341271104326E-37</v>
      </c>
      <c r="C76" s="34">
        <f t="shared" si="6"/>
        <v>6.5E-07</v>
      </c>
      <c r="D76" s="34">
        <f t="shared" si="12"/>
        <v>5.2702452746659905</v>
      </c>
      <c r="E76" s="41">
        <f t="shared" si="13"/>
        <v>5305926436571.035</v>
      </c>
      <c r="F76" s="211">
        <v>0.017259235531159017</v>
      </c>
      <c r="G76" s="211">
        <f t="shared" si="14"/>
        <v>0.014828189136809819</v>
      </c>
      <c r="H76" s="211">
        <v>0.011282943868923465</v>
      </c>
      <c r="I76" s="211">
        <f t="shared" si="7"/>
        <v>0.012345679012345678</v>
      </c>
      <c r="J76" s="211">
        <v>0.0060261244276865016</v>
      </c>
      <c r="K76" s="211">
        <v>0.012957807281015287</v>
      </c>
      <c r="L76" s="211">
        <f t="shared" si="8"/>
        <v>0</v>
      </c>
      <c r="M76" s="212" t="e">
        <f>Toolbox!U63/SUM(Toolbox!U$9:U$89)</f>
        <v>#DIV/0!</v>
      </c>
      <c r="N76" s="28" t="e">
        <f t="shared" si="9"/>
        <v>#DIV/0!</v>
      </c>
      <c r="P76" s="72">
        <v>650</v>
      </c>
      <c r="Q76" s="21">
        <f>Reference!C65*5</f>
        <v>0.00691588739271175</v>
      </c>
      <c r="R76" s="21">
        <f>Reference!D65*5</f>
        <v>0.0009113864964047258</v>
      </c>
      <c r="S76" s="21">
        <f>Reference!E65*5</f>
        <v>3.46474861534599E-05</v>
      </c>
      <c r="T76" s="21">
        <f>Reference!F65*5</f>
        <v>4.9371611103912315E-06</v>
      </c>
      <c r="U76" s="69">
        <f>Reference!G65*5</f>
        <v>1.4234202035484558E-08</v>
      </c>
      <c r="V76" s="182">
        <f>Reference!H65</f>
        <v>0.107</v>
      </c>
      <c r="X76" s="49">
        <v>650</v>
      </c>
      <c r="Y76" s="172">
        <f t="shared" si="10"/>
        <v>4.9371611103912315E-06</v>
      </c>
    </row>
    <row r="77" spans="1:25" ht="15">
      <c r="A77" s="22">
        <v>655</v>
      </c>
      <c r="B77" s="40">
        <f t="shared" si="11"/>
        <v>2.0090454973905304E-38</v>
      </c>
      <c r="C77" s="34">
        <f t="shared" si="6"/>
        <v>6.55E-07</v>
      </c>
      <c r="D77" s="34">
        <f t="shared" si="12"/>
        <v>5.230014394706709</v>
      </c>
      <c r="E77" s="41">
        <f t="shared" si="13"/>
        <v>5317233346525.673</v>
      </c>
      <c r="F77" s="211">
        <v>0.017623395904668333</v>
      </c>
      <c r="G77" s="211">
        <f t="shared" si="14"/>
        <v>0.014859787953974838</v>
      </c>
      <c r="H77" s="211">
        <v>0.011296182789251303</v>
      </c>
      <c r="I77" s="211">
        <f t="shared" si="7"/>
        <v>0.012345679012345678</v>
      </c>
      <c r="J77" s="211">
        <v>0.005066657689200103</v>
      </c>
      <c r="K77" s="211">
        <v>0.01166198996857405</v>
      </c>
      <c r="L77" s="211">
        <f t="shared" si="8"/>
        <v>0</v>
      </c>
      <c r="M77" s="212" t="e">
        <f>Toolbox!U64/SUM(Toolbox!U$9:U$89)</f>
        <v>#DIV/0!</v>
      </c>
      <c r="N77" s="28" t="e">
        <f t="shared" si="9"/>
        <v>#DIV/0!</v>
      </c>
      <c r="P77" s="72">
        <v>655</v>
      </c>
      <c r="Q77" s="21">
        <f>Reference!C66*5</f>
        <v>0.005286902361989192</v>
      </c>
      <c r="R77" s="21">
        <f>Reference!D66*5</f>
        <v>0.0006257155253760537</v>
      </c>
      <c r="S77" s="21">
        <f>Reference!E66*5</f>
        <v>2.345432617056327E-05</v>
      </c>
      <c r="T77" s="21">
        <f>Reference!F66*5</f>
        <v>3.3755371261849678E-06</v>
      </c>
      <c r="U77" s="69">
        <f>Reference!G66*5</f>
        <v>1.021444065218241E-08</v>
      </c>
      <c r="V77" s="182">
        <f>Reference!H66</f>
        <v>0.0816</v>
      </c>
      <c r="X77" s="49">
        <v>655</v>
      </c>
      <c r="Y77" s="172">
        <f t="shared" si="10"/>
        <v>3.3755371261849678E-06</v>
      </c>
    </row>
    <row r="78" spans="1:25" ht="15">
      <c r="A78" s="22">
        <v>660</v>
      </c>
      <c r="B78" s="40">
        <f t="shared" si="11"/>
        <v>4.806140744915541E-40</v>
      </c>
      <c r="C78" s="34">
        <f t="shared" si="6"/>
        <v>6.6E-07</v>
      </c>
      <c r="D78" s="34">
        <f t="shared" si="12"/>
        <v>5.190393073534687</v>
      </c>
      <c r="E78" s="41">
        <f t="shared" si="13"/>
        <v>5326897582808.575</v>
      </c>
      <c r="F78" s="211">
        <v>0.01798452335145974</v>
      </c>
      <c r="G78" s="211">
        <f t="shared" si="14"/>
        <v>0.014886796078791266</v>
      </c>
      <c r="H78" s="211">
        <v>0.011309421709579144</v>
      </c>
      <c r="I78" s="211">
        <f t="shared" si="7"/>
        <v>0.012345679012345678</v>
      </c>
      <c r="J78" s="211">
        <v>0.004174521949905733</v>
      </c>
      <c r="K78" s="211">
        <v>0.010495803166496549</v>
      </c>
      <c r="L78" s="211">
        <f t="shared" si="8"/>
        <v>0</v>
      </c>
      <c r="M78" s="212" t="e">
        <f>Toolbox!U65/SUM(Toolbox!U$9:U$89)</f>
        <v>#DIV/0!</v>
      </c>
      <c r="N78" s="28" t="e">
        <f t="shared" si="9"/>
        <v>#DIV/0!</v>
      </c>
      <c r="P78" s="72">
        <v>660</v>
      </c>
      <c r="Q78" s="21">
        <f>Reference!C67*5</f>
        <v>0.003962511644106094</v>
      </c>
      <c r="R78" s="21">
        <f>Reference!D67*5</f>
        <v>0.00042798447116487796</v>
      </c>
      <c r="S78" s="21">
        <f>Reference!E67*5</f>
        <v>1.595646399601339E-05</v>
      </c>
      <c r="T78" s="21">
        <f>Reference!F67*5</f>
        <v>2.3207068934758805E-06</v>
      </c>
      <c r="U78" s="69">
        <f>Reference!G67*5</f>
        <v>7.36760783390247E-09</v>
      </c>
      <c r="V78" s="182">
        <f>Reference!H67</f>
        <v>0.061</v>
      </c>
      <c r="X78" s="49">
        <v>660</v>
      </c>
      <c r="Y78" s="172">
        <f t="shared" si="10"/>
        <v>2.3207068934758805E-06</v>
      </c>
    </row>
    <row r="79" spans="1:25" ht="15">
      <c r="A79" s="22">
        <v>665</v>
      </c>
      <c r="B79" s="40">
        <f t="shared" si="11"/>
        <v>1.0628520447880257E-41</v>
      </c>
      <c r="C79" s="34">
        <f t="shared" si="6"/>
        <v>6.65E-07</v>
      </c>
      <c r="D79" s="34">
        <f t="shared" si="12"/>
        <v>5.1513675617036</v>
      </c>
      <c r="E79" s="41">
        <f t="shared" si="13"/>
        <v>5334960142587.314</v>
      </c>
      <c r="F79" s="211">
        <v>0.01834219953681352</v>
      </c>
      <c r="G79" s="211">
        <f t="shared" si="14"/>
        <v>0.014909328083852995</v>
      </c>
      <c r="H79" s="211">
        <v>0.01145486654674846</v>
      </c>
      <c r="I79" s="211">
        <f t="shared" si="7"/>
        <v>0.012345679012345678</v>
      </c>
      <c r="J79" s="211">
        <v>0.0036022084567734957</v>
      </c>
      <c r="K79" s="211">
        <v>0.009446198460287089</v>
      </c>
      <c r="L79" s="211">
        <f t="shared" si="8"/>
        <v>0</v>
      </c>
      <c r="M79" s="212" t="e">
        <f>Toolbox!U66/SUM(Toolbox!U$9:U$89)</f>
        <v>#DIV/0!</v>
      </c>
      <c r="N79" s="28" t="e">
        <f t="shared" si="9"/>
        <v>#DIV/0!</v>
      </c>
      <c r="P79" s="72">
        <v>665</v>
      </c>
      <c r="Q79" s="21">
        <f>Reference!C68*5</f>
        <v>0.002917290692233291</v>
      </c>
      <c r="R79" s="21">
        <f>Reference!D68*5</f>
        <v>0.00029222738896933877</v>
      </c>
      <c r="S79" s="21">
        <f>Reference!E68*5</f>
        <v>1.091104832043231E-05</v>
      </c>
      <c r="T79" s="21">
        <f>Reference!F68*5</f>
        <v>1.6043000281981036E-06</v>
      </c>
      <c r="U79" s="69">
        <f>Reference!G68*5</f>
        <v>5.3409506719042435E-09</v>
      </c>
      <c r="V79" s="182">
        <f>Reference!H68</f>
        <v>0.04458</v>
      </c>
      <c r="X79" s="49">
        <v>665</v>
      </c>
      <c r="Y79" s="172">
        <f t="shared" si="10"/>
        <v>1.6043000281981036E-06</v>
      </c>
    </row>
    <row r="80" spans="1:25" ht="15">
      <c r="A80" s="22">
        <v>670</v>
      </c>
      <c r="B80" s="40">
        <f t="shared" si="11"/>
        <v>2.172795009477995E-43</v>
      </c>
      <c r="C80" s="34">
        <f t="shared" si="6"/>
        <v>6.7E-07</v>
      </c>
      <c r="D80" s="34">
        <f t="shared" si="12"/>
        <v>5.112924520198348</v>
      </c>
      <c r="E80" s="41">
        <f t="shared" si="13"/>
        <v>5341462126048.846</v>
      </c>
      <c r="F80" s="211">
        <v>0.01869631987704975</v>
      </c>
      <c r="G80" s="211">
        <f t="shared" si="14"/>
        <v>0.014927498829656683</v>
      </c>
      <c r="H80" s="211">
        <v>0.011600311383917776</v>
      </c>
      <c r="I80" s="211">
        <f t="shared" si="7"/>
        <v>0.012345679012345678</v>
      </c>
      <c r="J80" s="211">
        <v>0.0025922434688930764</v>
      </c>
      <c r="K80" s="211">
        <v>0.008501590809038282</v>
      </c>
      <c r="L80" s="211">
        <f t="shared" si="8"/>
        <v>0</v>
      </c>
      <c r="M80" s="212" t="e">
        <f>Toolbox!U67/SUM(Toolbox!U$9:U$89)</f>
        <v>#DIV/0!</v>
      </c>
      <c r="N80" s="28" t="e">
        <f t="shared" si="9"/>
        <v>#DIV/0!</v>
      </c>
      <c r="P80" s="72">
        <v>670</v>
      </c>
      <c r="Q80" s="21">
        <f>Reference!C69*5</f>
        <v>0.0021147915003718117</v>
      </c>
      <c r="R80" s="21">
        <f>Reference!D69*5</f>
        <v>0.0001995043309409742</v>
      </c>
      <c r="S80" s="21">
        <f>Reference!E69*5</f>
        <v>7.4996412079644735E-06</v>
      </c>
      <c r="T80" s="21">
        <f>Reference!F69*5</f>
        <v>1.1150863395796774E-06</v>
      </c>
      <c r="U80" s="69">
        <f>Reference!G69*5</f>
        <v>3.8908271509769154E-09</v>
      </c>
      <c r="V80" s="182">
        <f>Reference!H69</f>
        <v>0.032</v>
      </c>
      <c r="X80" s="49">
        <v>670</v>
      </c>
      <c r="Y80" s="172">
        <f t="shared" si="10"/>
        <v>1.1150863395796774E-06</v>
      </c>
    </row>
    <row r="81" spans="1:25" ht="15">
      <c r="A81" s="22">
        <v>675</v>
      </c>
      <c r="B81" s="40">
        <f t="shared" si="11"/>
        <v>4.1061452958967516E-45</v>
      </c>
      <c r="C81" s="34">
        <f t="shared" si="6"/>
        <v>6.75E-07</v>
      </c>
      <c r="D81" s="34">
        <f t="shared" si="12"/>
        <v>5.075051005233917</v>
      </c>
      <c r="E81" s="41">
        <f t="shared" si="13"/>
        <v>5346444656880.011</v>
      </c>
      <c r="F81" s="211">
        <v>0.019046570621128644</v>
      </c>
      <c r="G81" s="211">
        <f t="shared" si="14"/>
        <v>0.014941423242372862</v>
      </c>
      <c r="H81" s="211">
        <v>0.011318783416818426</v>
      </c>
      <c r="I81" s="211">
        <f t="shared" si="7"/>
        <v>0.012345679012345678</v>
      </c>
      <c r="J81" s="211">
        <v>0.0022387557231349294</v>
      </c>
      <c r="K81" s="211">
        <v>0.00765137075423494</v>
      </c>
      <c r="L81" s="211">
        <f t="shared" si="8"/>
        <v>0</v>
      </c>
      <c r="M81" s="212" t="e">
        <f>Toolbox!U68/SUM(Toolbox!U$9:U$89)</f>
        <v>#DIV/0!</v>
      </c>
      <c r="N81" s="28" t="e">
        <f t="shared" si="9"/>
        <v>#DIV/0!</v>
      </c>
      <c r="P81" s="72">
        <v>675</v>
      </c>
      <c r="Q81" s="21">
        <f>Reference!C70*5</f>
        <v>0.0015117893082023661</v>
      </c>
      <c r="R81" s="21">
        <f>Reference!D70*5</f>
        <v>0.00013619774810009767</v>
      </c>
      <c r="S81" s="21">
        <f>Reference!E70*5</f>
        <v>5.175684761925732E-06</v>
      </c>
      <c r="T81" s="21">
        <f>Reference!F70*5</f>
        <v>7.783129810472573E-07</v>
      </c>
      <c r="U81" s="69">
        <f>Reference!G70*5</f>
        <v>2.8447833055125115E-09</v>
      </c>
      <c r="V81" s="182">
        <f>Reference!H70</f>
        <v>0.0232</v>
      </c>
      <c r="X81" s="49">
        <v>675</v>
      </c>
      <c r="Y81" s="172">
        <f t="shared" si="10"/>
        <v>7.783129810472573E-07</v>
      </c>
    </row>
    <row r="82" spans="1:25" ht="15">
      <c r="A82" s="22">
        <v>680</v>
      </c>
      <c r="B82" s="40">
        <f t="shared" si="11"/>
        <v>7.173308115669815E-47</v>
      </c>
      <c r="C82" s="34">
        <f t="shared" si="6"/>
        <v>6.8E-07</v>
      </c>
      <c r="D82" s="34">
        <f t="shared" si="12"/>
        <v>5.037734453724845</v>
      </c>
      <c r="E82" s="41">
        <f t="shared" si="13"/>
        <v>5349948808420.149</v>
      </c>
      <c r="F82" s="211">
        <v>0.019392847185370272</v>
      </c>
      <c r="G82" s="211">
        <f t="shared" si="14"/>
        <v>0.014951216107468593</v>
      </c>
      <c r="H82" s="211">
        <v>0.011037255449719072</v>
      </c>
      <c r="I82" s="211">
        <f t="shared" si="7"/>
        <v>0.012345679012345678</v>
      </c>
      <c r="J82" s="211">
        <v>0.00245758147050902</v>
      </c>
      <c r="K82" s="211">
        <v>0.006886270263151154</v>
      </c>
      <c r="L82" s="211">
        <f t="shared" si="8"/>
        <v>0</v>
      </c>
      <c r="M82" s="212" t="e">
        <f>Toolbox!U69/SUM(Toolbox!U$9:U$89)</f>
        <v>#DIV/0!</v>
      </c>
      <c r="N82" s="28" t="e">
        <f t="shared" si="9"/>
        <v>#DIV/0!</v>
      </c>
      <c r="P82" s="72">
        <v>680</v>
      </c>
      <c r="Q82" s="21">
        <f>Reference!C71*5</f>
        <v>0.0010698658367300773</v>
      </c>
      <c r="R82" s="21">
        <f>Reference!D71*5</f>
        <v>9.317419946262247E-05</v>
      </c>
      <c r="S82" s="21">
        <f>Reference!E71*5</f>
        <v>3.590407094693614E-06</v>
      </c>
      <c r="T82" s="21">
        <f>Reference!F71*5</f>
        <v>5.4611635400735E-07</v>
      </c>
      <c r="U82" s="69">
        <f>Reference!G71*5</f>
        <v>2.089749910177365E-09</v>
      </c>
      <c r="V82" s="182">
        <f>Reference!H71</f>
        <v>0.017</v>
      </c>
      <c r="X82" s="49">
        <v>680</v>
      </c>
      <c r="Y82" s="172">
        <f t="shared" si="10"/>
        <v>5.4611635400735E-07</v>
      </c>
    </row>
    <row r="83" spans="1:25" ht="15">
      <c r="A83" s="22">
        <v>685</v>
      </c>
      <c r="B83" s="40">
        <f t="shared" si="11"/>
        <v>1.1584419426340824E-48</v>
      </c>
      <c r="C83" s="34">
        <f t="shared" si="6"/>
        <v>6.85E-07</v>
      </c>
      <c r="D83" s="34">
        <f t="shared" si="12"/>
        <v>5.000962669391086</v>
      </c>
      <c r="E83" s="41">
        <f t="shared" si="13"/>
        <v>5352015535241.1045</v>
      </c>
      <c r="F83" s="211">
        <v>0.01973504498609471</v>
      </c>
      <c r="G83" s="211">
        <f t="shared" si="14"/>
        <v>0.014956991878497762</v>
      </c>
      <c r="H83" s="211">
        <v>0.010433608619222342</v>
      </c>
      <c r="I83" s="211">
        <f t="shared" si="7"/>
        <v>0.012345679012345678</v>
      </c>
      <c r="J83" s="211">
        <v>0.003265553460813356</v>
      </c>
      <c r="K83" s="211">
        <v>0.006197631042056137</v>
      </c>
      <c r="L83" s="211">
        <f t="shared" si="8"/>
        <v>0</v>
      </c>
      <c r="M83" s="212" t="e">
        <f>Toolbox!U70/SUM(Toolbox!U$9:U$89)</f>
        <v>#DIV/0!</v>
      </c>
      <c r="N83" s="28" t="e">
        <f t="shared" si="9"/>
        <v>#DIV/0!</v>
      </c>
      <c r="P83" s="72">
        <v>685</v>
      </c>
      <c r="Q83" s="21">
        <f>Reference!C72*5</f>
        <v>0.0007514538284534109</v>
      </c>
      <c r="R83" s="21">
        <f>Reference!D72*5</f>
        <v>6.392177616775377E-05</v>
      </c>
      <c r="S83" s="21">
        <f>Reference!E72*5</f>
        <v>2.503532166628366E-06</v>
      </c>
      <c r="T83" s="21">
        <f>Reference!F72*5</f>
        <v>3.851780419077683E-07</v>
      </c>
      <c r="U83" s="69">
        <f>Reference!G72*5</f>
        <v>1.5421710740143061E-09</v>
      </c>
      <c r="V83" s="182">
        <f>Reference!H72</f>
        <v>0.01192</v>
      </c>
      <c r="X83" s="49">
        <v>685</v>
      </c>
      <c r="Y83" s="172">
        <f t="shared" si="10"/>
        <v>3.851780419077683E-07</v>
      </c>
    </row>
    <row r="84" spans="1:25" ht="15">
      <c r="A84" s="22">
        <v>690</v>
      </c>
      <c r="B84" s="40">
        <f t="shared" si="11"/>
        <v>1.7294128276140377E-50</v>
      </c>
      <c r="C84" s="34">
        <f t="shared" si="6"/>
        <v>6.9E-07</v>
      </c>
      <c r="D84" s="34">
        <f t="shared" si="12"/>
        <v>4.964723809467962</v>
      </c>
      <c r="E84" s="41">
        <f t="shared" si="13"/>
        <v>5352685609911.874</v>
      </c>
      <c r="F84" s="211">
        <v>0.02007285027226217</v>
      </c>
      <c r="G84" s="211">
        <f t="shared" si="14"/>
        <v>0.01495886450038062</v>
      </c>
      <c r="H84" s="211">
        <v>0.009829975887682295</v>
      </c>
      <c r="I84" s="211">
        <f t="shared" si="7"/>
        <v>0.012345679012345678</v>
      </c>
      <c r="J84" s="211">
        <v>0.003366549959601398</v>
      </c>
      <c r="K84" s="211">
        <v>0.005577892327410328</v>
      </c>
      <c r="L84" s="211">
        <f t="shared" si="8"/>
        <v>0</v>
      </c>
      <c r="M84" s="212" t="e">
        <f>Toolbox!U71/SUM(Toolbox!U$9:U$89)</f>
        <v>#DIV/0!</v>
      </c>
      <c r="N84" s="28" t="e">
        <f t="shared" si="9"/>
        <v>#DIV/0!</v>
      </c>
      <c r="P84" s="72">
        <v>690</v>
      </c>
      <c r="Q84" s="21">
        <f>Reference!C73*5</f>
        <v>0.0005250735633460738</v>
      </c>
      <c r="R84" s="21">
        <f>Reference!D73*5</f>
        <v>4.4001426285087796E-05</v>
      </c>
      <c r="S84" s="21">
        <f>Reference!E73*5</f>
        <v>1.7545831617735119E-06</v>
      </c>
      <c r="T84" s="21">
        <f>Reference!F73*5</f>
        <v>2.730501492636491E-07</v>
      </c>
      <c r="U84" s="69">
        <f>Reference!G73*5</f>
        <v>1.1431953929143036E-09</v>
      </c>
      <c r="V84" s="182">
        <f>Reference!H73</f>
        <v>0.00821</v>
      </c>
      <c r="X84" s="49">
        <v>690</v>
      </c>
      <c r="Y84" s="172">
        <f t="shared" si="10"/>
        <v>2.730501492636491E-07</v>
      </c>
    </row>
    <row r="85" spans="1:25" ht="15">
      <c r="A85" s="22">
        <v>695</v>
      </c>
      <c r="B85" s="40">
        <f t="shared" si="11"/>
        <v>2.386671755994298E-52</v>
      </c>
      <c r="C85" s="34">
        <f t="shared" si="6"/>
        <v>6.95E-07</v>
      </c>
      <c r="D85" s="34">
        <f t="shared" si="12"/>
        <v>4.929006371989775</v>
      </c>
      <c r="E85" s="41">
        <f t="shared" si="13"/>
        <v>5351999564707.94</v>
      </c>
      <c r="F85" s="211">
        <v>0.020406158460192725</v>
      </c>
      <c r="G85" s="211">
        <f t="shared" si="14"/>
        <v>0.014956947246501972</v>
      </c>
      <c r="H85" s="211">
        <v>0.009963055939838284</v>
      </c>
      <c r="I85" s="211">
        <f t="shared" si="7"/>
        <v>0.012345679012345678</v>
      </c>
      <c r="J85" s="211">
        <v>0.0020199299757608386</v>
      </c>
      <c r="K85" s="211">
        <v>0.0050201030946692956</v>
      </c>
      <c r="L85" s="211">
        <f t="shared" si="8"/>
        <v>0</v>
      </c>
      <c r="M85" s="212" t="e">
        <f>Toolbox!U72/SUM(Toolbox!U$9:U$89)</f>
        <v>#DIV/0!</v>
      </c>
      <c r="N85" s="28" t="e">
        <f t="shared" si="9"/>
        <v>#DIV/0!</v>
      </c>
      <c r="P85" s="72">
        <v>695</v>
      </c>
      <c r="Q85" s="21">
        <f>Reference!C74*5</f>
        <v>0.0003654310573959458</v>
      </c>
      <c r="R85" s="21">
        <f>Reference!D74*5</f>
        <v>3.037892749266851E-05</v>
      </c>
      <c r="S85" s="21">
        <f>Reference!E74*5</f>
        <v>1.2348905218477877E-06</v>
      </c>
      <c r="T85" s="21">
        <f>Reference!F74*5</f>
        <v>1.9437320938663023E-07</v>
      </c>
      <c r="U85" s="69">
        <f>Reference!G74*5</f>
        <v>8.504835544856406E-10</v>
      </c>
      <c r="V85" s="182">
        <f>Reference!H74</f>
        <v>0.005723</v>
      </c>
      <c r="X85" s="49">
        <v>695</v>
      </c>
      <c r="Y85" s="172">
        <f aca="true" t="shared" si="15" ref="Y85:Y102">HLOOKUP($Y$18,$Q$21:$U$102,ROW()-20,FALSE)</f>
        <v>1.9437320938663023E-07</v>
      </c>
    </row>
    <row r="86" spans="1:25" ht="15">
      <c r="A86" s="22">
        <v>700</v>
      </c>
      <c r="B86" s="40">
        <f aca="true" t="shared" si="16" ref="B86:B102">EXP(-(((A86-$C$15)/($C$16/2))^2*LN(2)))</f>
        <v>3.0447828615984104E-54</v>
      </c>
      <c r="C86" s="34">
        <f t="shared" si="6"/>
        <v>7E-07</v>
      </c>
      <c r="D86" s="34">
        <f aca="true" t="shared" si="17" ref="D86:D102">$H$15*H$16/($H$17*$C86*$H$18)</f>
        <v>4.89379918361842</v>
      </c>
      <c r="E86" s="41">
        <f aca="true" t="shared" si="18" ref="E86:E102">(2*H$15*(H$16^2))/((C86^5))*(1/(EXP(D86)-1))</f>
        <v>5349997638029.02</v>
      </c>
      <c r="F86" s="211">
        <v>0.020734864966206447</v>
      </c>
      <c r="G86" s="211">
        <f aca="true" t="shared" si="19" ref="G86:G102">E86/SUM(E$22:E$102)</f>
        <v>0.014951352568967723</v>
      </c>
      <c r="H86" s="211">
        <v>0.010096135991994272</v>
      </c>
      <c r="I86" s="211">
        <f t="shared" si="7"/>
        <v>0.012345679012345678</v>
      </c>
      <c r="J86" s="211">
        <v>0.0022724212227309437</v>
      </c>
      <c r="K86" s="211">
        <v>0.0045180440060827555</v>
      </c>
      <c r="L86" s="211">
        <f t="shared" si="8"/>
        <v>0</v>
      </c>
      <c r="M86" s="212" t="e">
        <f>Toolbox!U73/SUM(Toolbox!U$9:U$89)</f>
        <v>#DIV/0!</v>
      </c>
      <c r="N86" s="28" t="e">
        <f t="shared" si="9"/>
        <v>#DIV/0!</v>
      </c>
      <c r="P86" s="72">
        <v>700</v>
      </c>
      <c r="Q86" s="21">
        <f>Reference!C75*5</f>
        <v>0.00025394364113411424</v>
      </c>
      <c r="R86" s="21">
        <f>Reference!D75*5</f>
        <v>2.1059059915542128E-05</v>
      </c>
      <c r="S86" s="21">
        <f>Reference!E75*5</f>
        <v>8.734446400232226E-07</v>
      </c>
      <c r="T86" s="21">
        <f>Reference!F75*5</f>
        <v>1.3904386904702972E-07</v>
      </c>
      <c r="U86" s="69">
        <f>Reference!G75*5</f>
        <v>6.354448523055729E-10</v>
      </c>
      <c r="V86" s="182">
        <f>Reference!H75</f>
        <v>0.004102</v>
      </c>
      <c r="X86" s="49">
        <v>700</v>
      </c>
      <c r="Y86" s="172">
        <f t="shared" si="15"/>
        <v>1.3904386904702972E-07</v>
      </c>
    </row>
    <row r="87" spans="1:25" ht="15">
      <c r="A87" s="22">
        <v>705</v>
      </c>
      <c r="B87" s="40">
        <f t="shared" si="16"/>
        <v>3.5907864206486934E-56</v>
      </c>
      <c r="C87" s="34">
        <f aca="true" t="shared" si="20" ref="C87:C102">A87/1000000000</f>
        <v>7.05E-07</v>
      </c>
      <c r="D87" s="34">
        <f t="shared" si="17"/>
        <v>4.8590913879899205</v>
      </c>
      <c r="E87" s="41">
        <f t="shared" si="18"/>
        <v>5346719725293.331</v>
      </c>
      <c r="F87" s="211">
        <v>0.021058865206623412</v>
      </c>
      <c r="G87" s="211">
        <f t="shared" si="19"/>
        <v>0.014942191961371708</v>
      </c>
      <c r="H87" s="211">
        <v>0.010289277599631193</v>
      </c>
      <c r="I87" s="211">
        <f aca="true" t="shared" si="21" ref="I87:I102">1/81</f>
        <v>0.012345679012345678</v>
      </c>
      <c r="J87" s="211">
        <v>0.0069014274171828646</v>
      </c>
      <c r="K87" s="211">
        <v>0.004066227410694578</v>
      </c>
      <c r="L87" s="211">
        <f aca="true" t="shared" si="22" ref="L87:L102">IF(B87/SUM(B$22:B$102)&lt;0.0001,0,B87/SUM(B$22:B$102))</f>
        <v>0</v>
      </c>
      <c r="M87" s="212" t="e">
        <f>Toolbox!U74/SUM(Toolbox!U$9:U$89)</f>
        <v>#DIV/0!</v>
      </c>
      <c r="N87" s="28" t="e">
        <f aca="true" t="shared" si="23" ref="N87:N102">HLOOKUP($C$7,$F$21:$M$102,ROW()-20,FALSE)</f>
        <v>#DIV/0!</v>
      </c>
      <c r="P87" s="72">
        <v>705</v>
      </c>
      <c r="Q87" s="21">
        <f>Reference!C76*5</f>
        <v>0.00017644487809238816</v>
      </c>
      <c r="R87" s="21">
        <f>Reference!D76*5</f>
        <v>1.4660577757784078E-05</v>
      </c>
      <c r="S87" s="21">
        <f>Reference!E76*5</f>
        <v>6.208131414049249E-07</v>
      </c>
      <c r="T87" s="21">
        <f>Reference!F76*5</f>
        <v>9.994181582129739E-08</v>
      </c>
      <c r="U87" s="69">
        <f>Reference!G76*5</f>
        <v>4.767783042890416E-10</v>
      </c>
      <c r="V87" s="182">
        <f>Reference!H76</f>
        <v>0.002929</v>
      </c>
      <c r="X87" s="49">
        <v>705</v>
      </c>
      <c r="Y87" s="172">
        <f t="shared" si="15"/>
        <v>9.994181582129739E-08</v>
      </c>
    </row>
    <row r="88" spans="1:25" ht="15">
      <c r="A88" s="22">
        <v>710</v>
      </c>
      <c r="B88" s="40">
        <f t="shared" si="16"/>
        <v>3.9146454753046116E-58</v>
      </c>
      <c r="C88" s="34">
        <f t="shared" si="20"/>
        <v>7.1E-07</v>
      </c>
      <c r="D88" s="34">
        <f t="shared" si="17"/>
        <v>4.824872434553372</v>
      </c>
      <c r="E88" s="41">
        <f t="shared" si="18"/>
        <v>5342205334081.827</v>
      </c>
      <c r="F88" s="211">
        <v>0.02137784543040383</v>
      </c>
      <c r="G88" s="211">
        <f t="shared" si="19"/>
        <v>0.014929575833439675</v>
      </c>
      <c r="H88" s="211">
        <v>0.010482433306224798</v>
      </c>
      <c r="I88" s="211">
        <f t="shared" si="21"/>
        <v>0.012345679012345678</v>
      </c>
      <c r="J88" s="211">
        <v>0.0093926743872879</v>
      </c>
      <c r="K88" s="211">
        <v>0.0036596534487447294</v>
      </c>
      <c r="L88" s="211">
        <f t="shared" si="22"/>
        <v>0</v>
      </c>
      <c r="M88" s="212" t="e">
        <f>Toolbox!U75/SUM(Toolbox!U$9:U$89)</f>
        <v>#DIV/0!</v>
      </c>
      <c r="N88" s="28" t="e">
        <f t="shared" si="23"/>
        <v>#DIV/0!</v>
      </c>
      <c r="P88" s="72">
        <v>710</v>
      </c>
      <c r="Q88" s="21">
        <f>Reference!C77*5</f>
        <v>0.00012271365997680497</v>
      </c>
      <c r="R88" s="21">
        <f>Reference!D77*5</f>
        <v>1.0250949888022828E-05</v>
      </c>
      <c r="S88" s="21">
        <f>Reference!E77*5</f>
        <v>4.4337326409700254E-07</v>
      </c>
      <c r="T88" s="21">
        <f>Reference!F77*5</f>
        <v>7.217411238245245E-08</v>
      </c>
      <c r="U88" s="69">
        <f>Reference!G77*5</f>
        <v>3.592055690926789E-10</v>
      </c>
      <c r="V88" s="182">
        <f>Reference!H77</f>
        <v>0.002091</v>
      </c>
      <c r="X88" s="49">
        <v>710</v>
      </c>
      <c r="Y88" s="172">
        <f t="shared" si="15"/>
        <v>7.217411238245245E-08</v>
      </c>
    </row>
    <row r="89" spans="1:25" ht="15">
      <c r="A89" s="22">
        <v>715</v>
      </c>
      <c r="B89" s="40">
        <f t="shared" si="16"/>
        <v>3.945162665703446E-60</v>
      </c>
      <c r="C89" s="34">
        <f t="shared" si="20"/>
        <v>7.15E-07</v>
      </c>
      <c r="D89" s="34">
        <f t="shared" si="17"/>
        <v>4.791132067878173</v>
      </c>
      <c r="E89" s="41">
        <f t="shared" si="18"/>
        <v>5336493543311.089</v>
      </c>
      <c r="F89" s="211">
        <v>0.021691805637547707</v>
      </c>
      <c r="G89" s="211">
        <f t="shared" si="19"/>
        <v>0.014913613396931957</v>
      </c>
      <c r="H89" s="211">
        <v>0.00958397729143082</v>
      </c>
      <c r="I89" s="211">
        <f t="shared" si="21"/>
        <v>0.012345679012345678</v>
      </c>
      <c r="J89" s="211">
        <v>0.004225020199299754</v>
      </c>
      <c r="K89" s="211">
        <v>0.0032936881038702565</v>
      </c>
      <c r="L89" s="211">
        <f t="shared" si="22"/>
        <v>0</v>
      </c>
      <c r="M89" s="212" t="e">
        <f>Toolbox!U76/SUM(Toolbox!U$9:U$89)</f>
        <v>#DIV/0!</v>
      </c>
      <c r="N89" s="28" t="e">
        <f t="shared" si="23"/>
        <v>#DIV/0!</v>
      </c>
      <c r="P89" s="72">
        <v>715</v>
      </c>
      <c r="Q89" s="21">
        <f>Reference!C78*5</f>
        <v>8.548858340824561E-05</v>
      </c>
      <c r="R89" s="21">
        <f>Reference!D78*5</f>
        <v>7.198816332246147E-06</v>
      </c>
      <c r="S89" s="21">
        <f>Reference!E78*5</f>
        <v>3.181080454528326E-07</v>
      </c>
      <c r="T89" s="21">
        <f>Reference!F78*5</f>
        <v>5.2355690786663397E-08</v>
      </c>
      <c r="U89" s="69">
        <f>Reference!G78*5</f>
        <v>2.716876192544582E-10</v>
      </c>
      <c r="V89" s="182">
        <f>Reference!H78</f>
        <v>0.001484</v>
      </c>
      <c r="X89" s="49">
        <v>715</v>
      </c>
      <c r="Y89" s="172">
        <f t="shared" si="15"/>
        <v>5.2355690786663397E-08</v>
      </c>
    </row>
    <row r="90" spans="1:25" ht="15">
      <c r="A90" s="22">
        <v>720</v>
      </c>
      <c r="B90" s="40">
        <f t="shared" si="16"/>
        <v>3.6754202802213633E-62</v>
      </c>
      <c r="C90" s="34">
        <f t="shared" si="20"/>
        <v>7.2E-07</v>
      </c>
      <c r="D90" s="34">
        <f t="shared" si="17"/>
        <v>4.757860317406797</v>
      </c>
      <c r="E90" s="41">
        <f t="shared" si="18"/>
        <v>5329622966219.953</v>
      </c>
      <c r="F90" s="211">
        <v>0.022000745828055036</v>
      </c>
      <c r="G90" s="211">
        <f t="shared" si="19"/>
        <v>0.014894412562204171</v>
      </c>
      <c r="H90" s="211">
        <v>0.00868552127663684</v>
      </c>
      <c r="I90" s="211">
        <f t="shared" si="21"/>
        <v>0.012345679012345678</v>
      </c>
      <c r="J90" s="211">
        <v>0.0009594667384863983</v>
      </c>
      <c r="K90" s="211">
        <v>0.0029643070987033287</v>
      </c>
      <c r="L90" s="211">
        <f t="shared" si="22"/>
        <v>0</v>
      </c>
      <c r="M90" s="212" t="e">
        <f>Toolbox!U77/SUM(Toolbox!U$9:U$89)</f>
        <v>#DIV/0!</v>
      </c>
      <c r="N90" s="28" t="e">
        <f t="shared" si="23"/>
        <v>#DIV/0!</v>
      </c>
      <c r="P90" s="72">
        <v>720</v>
      </c>
      <c r="Q90" s="21">
        <f>Reference!C79*5</f>
        <v>5.970196538661153E-05</v>
      </c>
      <c r="R90" s="21">
        <f>Reference!D79*5</f>
        <v>5.078180983356167E-06</v>
      </c>
      <c r="S90" s="21">
        <f>Reference!E79*5</f>
        <v>2.2929220587129768E-07</v>
      </c>
      <c r="T90" s="21">
        <f>Reference!F79*5</f>
        <v>3.815088487486474E-08</v>
      </c>
      <c r="U90" s="69">
        <f>Reference!G79*5</f>
        <v>2.0630517761032388E-10</v>
      </c>
      <c r="V90" s="182">
        <f>Reference!H79</f>
        <v>0.001047</v>
      </c>
      <c r="X90" s="49">
        <v>720</v>
      </c>
      <c r="Y90" s="172">
        <f t="shared" si="15"/>
        <v>3.815088487486474E-08</v>
      </c>
    </row>
    <row r="91" spans="1:25" ht="15">
      <c r="A91" s="22">
        <v>725</v>
      </c>
      <c r="B91" s="40">
        <f t="shared" si="16"/>
        <v>3.165327968098782E-64</v>
      </c>
      <c r="C91" s="34">
        <f t="shared" si="20"/>
        <v>7.25E-07</v>
      </c>
      <c r="D91" s="34">
        <f t="shared" si="17"/>
        <v>4.725047487631578</v>
      </c>
      <c r="E91" s="41">
        <f t="shared" si="18"/>
        <v>5321631716961.171</v>
      </c>
      <c r="F91" s="211">
        <v>0.022304352250886037</v>
      </c>
      <c r="G91" s="211">
        <f t="shared" si="19"/>
        <v>0.014872079844842715</v>
      </c>
      <c r="H91" s="211">
        <v>0.009269330875076842</v>
      </c>
      <c r="I91" s="211">
        <f t="shared" si="21"/>
        <v>0.012345679012345678</v>
      </c>
      <c r="J91" s="211">
        <v>0.0004544842445461887</v>
      </c>
      <c r="K91" s="211">
        <v>0.002667851999273191</v>
      </c>
      <c r="L91" s="211">
        <f t="shared" si="22"/>
        <v>0</v>
      </c>
      <c r="M91" s="212" t="e">
        <f>Toolbox!U78/SUM(Toolbox!U$9:U$89)</f>
        <v>#DIV/0!</v>
      </c>
      <c r="N91" s="28" t="e">
        <f t="shared" si="23"/>
        <v>#DIV/0!</v>
      </c>
      <c r="P91" s="72">
        <v>725</v>
      </c>
      <c r="Q91" s="21">
        <f>Reference!C80*5</f>
        <v>4.1807031910177356E-05</v>
      </c>
      <c r="R91" s="21">
        <f>Reference!D80*5</f>
        <v>3.597565882099346E-06</v>
      </c>
      <c r="S91" s="21">
        <f>Reference!E80*5</f>
        <v>1.6598780375437643E-07</v>
      </c>
      <c r="T91" s="21">
        <f>Reference!F80*5</f>
        <v>2.79167204591683E-08</v>
      </c>
      <c r="U91" s="69">
        <f>Reference!G80*5</f>
        <v>1.5722770234883916E-10</v>
      </c>
      <c r="V91" s="182">
        <f>Reference!H80</f>
        <v>0.00074</v>
      </c>
      <c r="X91" s="49">
        <v>725</v>
      </c>
      <c r="Y91" s="172">
        <f t="shared" si="15"/>
        <v>2.79167204591683E-08</v>
      </c>
    </row>
    <row r="92" spans="1:25" ht="15">
      <c r="A92" s="22">
        <v>730</v>
      </c>
      <c r="B92" s="40">
        <f t="shared" si="16"/>
        <v>2.519997081728312E-66</v>
      </c>
      <c r="C92" s="34">
        <f t="shared" si="20"/>
        <v>7.3E-07</v>
      </c>
      <c r="D92" s="34">
        <f t="shared" si="17"/>
        <v>4.692684148675197</v>
      </c>
      <c r="E92" s="41">
        <f t="shared" si="18"/>
        <v>5312557380596.017</v>
      </c>
      <c r="F92" s="211">
        <v>0.022602624906040713</v>
      </c>
      <c r="G92" s="211">
        <f t="shared" si="19"/>
        <v>0.014846720281810308</v>
      </c>
      <c r="H92" s="211">
        <v>0.009853140473516842</v>
      </c>
      <c r="I92" s="211">
        <f t="shared" si="21"/>
        <v>0.012345679012345678</v>
      </c>
      <c r="J92" s="211">
        <v>0.00038715324535416076</v>
      </c>
      <c r="K92" s="211">
        <v>0.002401152162805189</v>
      </c>
      <c r="L92" s="211">
        <f t="shared" si="22"/>
        <v>0</v>
      </c>
      <c r="M92" s="212" t="e">
        <f>Toolbox!U79/SUM(Toolbox!U$9:U$89)</f>
        <v>#DIV/0!</v>
      </c>
      <c r="N92" s="28" t="e">
        <f t="shared" si="23"/>
        <v>#DIV/0!</v>
      </c>
      <c r="P92" s="72">
        <v>730</v>
      </c>
      <c r="Q92" s="21">
        <f>Reference!C81*5</f>
        <v>2.937312343440811E-05</v>
      </c>
      <c r="R92" s="21">
        <f>Reference!D81*5</f>
        <v>2.5600985220973624E-06</v>
      </c>
      <c r="S92" s="21">
        <f>Reference!E81*5</f>
        <v>1.2069746967962657E-07</v>
      </c>
      <c r="T92" s="21">
        <f>Reference!F81*5</f>
        <v>2.0516572454118292E-08</v>
      </c>
      <c r="U92" s="69">
        <f>Reference!G81*5</f>
        <v>1.2027926510093974E-10</v>
      </c>
      <c r="V92" s="182">
        <f>Reference!H81</f>
        <v>0.00052</v>
      </c>
      <c r="X92" s="49">
        <v>730</v>
      </c>
      <c r="Y92" s="172">
        <f t="shared" si="15"/>
        <v>2.0516572454118292E-08</v>
      </c>
    </row>
    <row r="93" spans="1:25" ht="15">
      <c r="A93" s="22">
        <v>735</v>
      </c>
      <c r="B93" s="40">
        <f t="shared" si="16"/>
        <v>1.8546030753437235E-68</v>
      </c>
      <c r="C93" s="34">
        <f t="shared" si="20"/>
        <v>7.35E-07</v>
      </c>
      <c r="D93" s="34">
        <f t="shared" si="17"/>
        <v>4.660761127255638</v>
      </c>
      <c r="E93" s="41">
        <f t="shared" si="18"/>
        <v>5302436986296.678</v>
      </c>
      <c r="F93" s="211">
        <v>0.02289545920983913</v>
      </c>
      <c r="G93" s="211">
        <f t="shared" si="19"/>
        <v>0.014818437356556134</v>
      </c>
      <c r="H93" s="211">
        <v>0.010219812040040924</v>
      </c>
      <c r="I93" s="211">
        <f t="shared" si="21"/>
        <v>0.012345679012345678</v>
      </c>
      <c r="J93" s="211">
        <v>0.00035348774575814674</v>
      </c>
      <c r="K93" s="211">
        <v>0.0021610369465246706</v>
      </c>
      <c r="L93" s="211">
        <f t="shared" si="22"/>
        <v>0</v>
      </c>
      <c r="M93" s="212" t="e">
        <f>Toolbox!U80/SUM(Toolbox!U$9:U$89)</f>
        <v>#DIV/0!</v>
      </c>
      <c r="N93" s="28" t="e">
        <f t="shared" si="23"/>
        <v>#DIV/0!</v>
      </c>
      <c r="P93" s="72">
        <v>735</v>
      </c>
      <c r="Q93" s="21">
        <f>Reference!C82*5</f>
        <v>2.070892473941456E-05</v>
      </c>
      <c r="R93" s="21">
        <f>Reference!D82*5</f>
        <v>1.8297369441322335E-06</v>
      </c>
      <c r="S93" s="21">
        <f>Reference!E82*5</f>
        <v>8.813905661848186E-08</v>
      </c>
      <c r="T93" s="21">
        <f>Reference!F82*5</f>
        <v>1.5140430832801665E-08</v>
      </c>
      <c r="U93" s="69">
        <f>Reference!G82*5</f>
        <v>9.234496627999858E-11</v>
      </c>
      <c r="V93" s="182">
        <f>Reference!H82</f>
        <v>0.0003611</v>
      </c>
      <c r="X93" s="49">
        <v>735</v>
      </c>
      <c r="Y93" s="172">
        <f t="shared" si="15"/>
        <v>1.5140430832801665E-08</v>
      </c>
    </row>
    <row r="94" spans="1:25" ht="15">
      <c r="A94" s="22">
        <v>740</v>
      </c>
      <c r="B94" s="40">
        <f t="shared" si="16"/>
        <v>1.2617448139513138E-70</v>
      </c>
      <c r="C94" s="34">
        <f t="shared" si="20"/>
        <v>7.4E-07</v>
      </c>
      <c r="D94" s="34">
        <f t="shared" si="17"/>
        <v>4.629269498017424</v>
      </c>
      <c r="E94" s="41">
        <f t="shared" si="18"/>
        <v>5291306983568.287</v>
      </c>
      <c r="F94" s="211">
        <v>0.023182750578601363</v>
      </c>
      <c r="G94" s="211">
        <f t="shared" si="19"/>
        <v>0.014787332932564828</v>
      </c>
      <c r="H94" s="211">
        <v>0.010586483606565004</v>
      </c>
      <c r="I94" s="211">
        <f t="shared" si="21"/>
        <v>0.012345679012345678</v>
      </c>
      <c r="J94" s="211">
        <v>0.0004039859951521677</v>
      </c>
      <c r="K94" s="211">
        <v>0.001944945446652106</v>
      </c>
      <c r="L94" s="211">
        <f t="shared" si="22"/>
        <v>0</v>
      </c>
      <c r="M94" s="212" t="e">
        <f>Toolbox!U81/SUM(Toolbox!U$9:U$89)</f>
        <v>#DIV/0!</v>
      </c>
      <c r="N94" s="28" t="e">
        <f t="shared" si="23"/>
        <v>#DIV/0!</v>
      </c>
      <c r="P94" s="72">
        <v>740</v>
      </c>
      <c r="Q94" s="21">
        <f>Reference!C83*5</f>
        <v>1.4655622251754688E-05</v>
      </c>
      <c r="R94" s="21">
        <f>Reference!D83*5</f>
        <v>1.3135182999799642E-06</v>
      </c>
      <c r="S94" s="21">
        <f>Reference!E83*5</f>
        <v>6.46398671409847E-08</v>
      </c>
      <c r="T94" s="21">
        <f>Reference!F83*5</f>
        <v>1.1219613591817152E-08</v>
      </c>
      <c r="U94" s="69">
        <f>Reference!G83*5</f>
        <v>7.11560939775069E-11</v>
      </c>
      <c r="V94" s="182">
        <f>Reference!H83</f>
        <v>0.0002492</v>
      </c>
      <c r="X94" s="49">
        <v>740</v>
      </c>
      <c r="Y94" s="172">
        <f t="shared" si="15"/>
        <v>1.1219613591817152E-08</v>
      </c>
    </row>
    <row r="95" spans="1:25" ht="15">
      <c r="A95" s="22">
        <v>745</v>
      </c>
      <c r="B95" s="40">
        <f t="shared" si="16"/>
        <v>7.935269776747997E-73</v>
      </c>
      <c r="C95" s="34">
        <f t="shared" si="20"/>
        <v>7.45E-07</v>
      </c>
      <c r="D95" s="34">
        <f t="shared" si="17"/>
        <v>4.598200575211938</v>
      </c>
      <c r="E95" s="41">
        <f t="shared" si="18"/>
        <v>5279203221309.4</v>
      </c>
      <c r="F95" s="211">
        <v>0.02346449901232741</v>
      </c>
      <c r="G95" s="211">
        <f t="shared" si="19"/>
        <v>0.014753507194837912</v>
      </c>
      <c r="H95" s="211">
        <v>0.009776188367926484</v>
      </c>
      <c r="I95" s="211">
        <f t="shared" si="21"/>
        <v>0.012345679012345678</v>
      </c>
      <c r="J95" s="211">
        <v>0.0004039859951521677</v>
      </c>
      <c r="K95" s="211">
        <v>0.0017504387072069928</v>
      </c>
      <c r="L95" s="211">
        <f t="shared" si="22"/>
        <v>0</v>
      </c>
      <c r="M95" s="212" t="e">
        <f>Toolbox!U82/SUM(Toolbox!U$9:U$89)</f>
        <v>#DIV/0!</v>
      </c>
      <c r="N95" s="28" t="e">
        <f t="shared" si="23"/>
        <v>#DIV/0!</v>
      </c>
      <c r="P95" s="72">
        <v>745</v>
      </c>
      <c r="Q95" s="21">
        <f>Reference!C84*5</f>
        <v>1.0411100506867947E-05</v>
      </c>
      <c r="R95" s="21">
        <f>Reference!D84*5</f>
        <v>9.469491684826165E-07</v>
      </c>
      <c r="S95" s="21">
        <f>Reference!E84*5</f>
        <v>4.760016492838195E-08</v>
      </c>
      <c r="T95" s="21">
        <f>Reference!F84*5</f>
        <v>8.34714354052536E-09</v>
      </c>
      <c r="U95" s="69">
        <f>Reference!G84*5</f>
        <v>5.50181634309494E-11</v>
      </c>
      <c r="V95" s="182">
        <f>Reference!H84</f>
        <v>0.0001719</v>
      </c>
      <c r="X95" s="49">
        <v>745</v>
      </c>
      <c r="Y95" s="172">
        <f t="shared" si="15"/>
        <v>8.34714354052536E-09</v>
      </c>
    </row>
    <row r="96" spans="1:25" ht="15">
      <c r="A96" s="22">
        <v>750</v>
      </c>
      <c r="B96" s="40">
        <f t="shared" si="16"/>
        <v>4.61340390499632E-75</v>
      </c>
      <c r="C96" s="34">
        <f t="shared" si="20"/>
        <v>7.5E-07</v>
      </c>
      <c r="D96" s="34">
        <f t="shared" si="17"/>
        <v>4.567545904710525</v>
      </c>
      <c r="E96" s="41">
        <f t="shared" si="18"/>
        <v>5266160929536.915</v>
      </c>
      <c r="F96" s="211">
        <v>0.02374049534365742</v>
      </c>
      <c r="G96" s="211">
        <f t="shared" si="19"/>
        <v>0.014717058598821407</v>
      </c>
      <c r="H96" s="211">
        <v>0.008965907228244653</v>
      </c>
      <c r="I96" s="211">
        <f t="shared" si="21"/>
        <v>0.012345679012345678</v>
      </c>
      <c r="J96" s="211">
        <v>0.0003366549959601398</v>
      </c>
      <c r="K96" s="211">
        <v>0.0015753216678068783</v>
      </c>
      <c r="L96" s="211">
        <f t="shared" si="22"/>
        <v>0</v>
      </c>
      <c r="M96" s="212" t="e">
        <f>Toolbox!U83/SUM(Toolbox!U$9:U$89)</f>
        <v>#DIV/0!</v>
      </c>
      <c r="N96" s="28" t="e">
        <f t="shared" si="23"/>
        <v>#DIV/0!</v>
      </c>
      <c r="P96" s="72">
        <v>750</v>
      </c>
      <c r="Q96" s="21">
        <f>Reference!C85*5</f>
        <v>7.425415021595404E-06</v>
      </c>
      <c r="R96" s="21">
        <f>Reference!D85*5</f>
        <v>6.856225089423179E-07</v>
      </c>
      <c r="S96" s="21">
        <f>Reference!E85*5</f>
        <v>3.519712078374129E-08</v>
      </c>
      <c r="T96" s="21">
        <f>Reference!F85*5</f>
        <v>6.234951830059331E-09</v>
      </c>
      <c r="U96" s="69">
        <f>Reference!G85*5</f>
        <v>4.26887807774703E-11</v>
      </c>
      <c r="V96" s="182">
        <f>Reference!H85</f>
        <v>0.00012</v>
      </c>
      <c r="X96" s="49">
        <v>750</v>
      </c>
      <c r="Y96" s="172">
        <f t="shared" si="15"/>
        <v>6.234951830059331E-09</v>
      </c>
    </row>
    <row r="97" spans="1:25" ht="15">
      <c r="A97" s="22">
        <v>755</v>
      </c>
      <c r="B97" s="40">
        <f t="shared" si="16"/>
        <v>2.4794244336116012E-77</v>
      </c>
      <c r="C97" s="34">
        <f t="shared" si="20"/>
        <v>7.55E-07</v>
      </c>
      <c r="D97" s="34">
        <f t="shared" si="17"/>
        <v>4.537297256334959</v>
      </c>
      <c r="E97" s="41">
        <f t="shared" si="18"/>
        <v>5252214703608.513</v>
      </c>
      <c r="F97" s="211">
        <v>0.02401084415627132</v>
      </c>
      <c r="G97" s="211">
        <f t="shared" si="19"/>
        <v>0.014678083826313127</v>
      </c>
      <c r="H97" s="211">
        <v>0.007755187520776575</v>
      </c>
      <c r="I97" s="211">
        <f t="shared" si="21"/>
        <v>0.012345679012345678</v>
      </c>
      <c r="J97" s="211">
        <v>0.0004039859951521677</v>
      </c>
      <c r="K97" s="211">
        <v>0.0014177651114663855</v>
      </c>
      <c r="L97" s="211">
        <f t="shared" si="22"/>
        <v>0</v>
      </c>
      <c r="M97" s="212" t="e">
        <f>Toolbox!U84/SUM(Toolbox!U$9:U$89)</f>
        <v>#DIV/0!</v>
      </c>
      <c r="N97" s="28" t="e">
        <f t="shared" si="23"/>
        <v>#DIV/0!</v>
      </c>
      <c r="P97" s="72">
        <v>755</v>
      </c>
      <c r="Q97" s="21">
        <f>Reference!C86*5</f>
        <v>5.315534757731571E-06</v>
      </c>
      <c r="R97" s="21">
        <f>Reference!D86*5</f>
        <v>4.983496513590878E-07</v>
      </c>
      <c r="S97" s="21">
        <f>Reference!E86*5</f>
        <v>2.6122329113797165E-08</v>
      </c>
      <c r="T97" s="21">
        <f>Reference!F86*5</f>
        <v>4.673899051780759E-09</v>
      </c>
      <c r="U97" s="69">
        <f>Reference!G86*5</f>
        <v>3.322440715871792E-11</v>
      </c>
      <c r="V97" s="182">
        <f>Reference!H86</f>
        <v>8.48E-05</v>
      </c>
      <c r="X97" s="49">
        <v>755</v>
      </c>
      <c r="Y97" s="172">
        <f t="shared" si="15"/>
        <v>4.673899051780759E-09</v>
      </c>
    </row>
    <row r="98" spans="1:25" ht="15">
      <c r="A98" s="22">
        <v>760</v>
      </c>
      <c r="B98" s="40">
        <f t="shared" si="16"/>
        <v>1.2318274834027243E-79</v>
      </c>
      <c r="C98" s="34">
        <f t="shared" si="20"/>
        <v>7.6E-07</v>
      </c>
      <c r="D98" s="34">
        <f t="shared" si="17"/>
        <v>4.50744661649065</v>
      </c>
      <c r="E98" s="41">
        <f t="shared" si="18"/>
        <v>5237398490782.695</v>
      </c>
      <c r="F98" s="211">
        <v>0.024275440866489174</v>
      </c>
      <c r="G98" s="211">
        <f t="shared" si="19"/>
        <v>0.014636677747902732</v>
      </c>
      <c r="H98" s="211">
        <v>0.0065444819122651805</v>
      </c>
      <c r="I98" s="211">
        <f t="shared" si="21"/>
        <v>0.012345679012345678</v>
      </c>
      <c r="J98" s="211">
        <v>0.0005386479935362236</v>
      </c>
      <c r="K98" s="211">
        <v>0.0012760617689991619</v>
      </c>
      <c r="L98" s="211">
        <f t="shared" si="22"/>
        <v>0</v>
      </c>
      <c r="M98" s="212" t="e">
        <f>Toolbox!U85/SUM(Toolbox!U$9:U$89)</f>
        <v>#DIV/0!</v>
      </c>
      <c r="N98" s="28" t="e">
        <f t="shared" si="23"/>
        <v>#DIV/0!</v>
      </c>
      <c r="P98" s="72">
        <v>760</v>
      </c>
      <c r="Q98" s="21">
        <f>Reference!C87*5</f>
        <v>3.820619324810359E-06</v>
      </c>
      <c r="R98" s="21">
        <f>Reference!D87*5</f>
        <v>3.637436658823977E-07</v>
      </c>
      <c r="S98" s="21">
        <f>Reference!E87*5</f>
        <v>1.9464301754548743E-08</v>
      </c>
      <c r="T98" s="21">
        <f>Reference!F87*5</f>
        <v>3.5171683588029165E-09</v>
      </c>
      <c r="U98" s="69">
        <f>Reference!G87*5</f>
        <v>2.59449556832619E-11</v>
      </c>
      <c r="V98" s="182">
        <f>Reference!H87</f>
        <v>6E-05</v>
      </c>
      <c r="X98" s="49">
        <v>760</v>
      </c>
      <c r="Y98" s="172">
        <f t="shared" si="15"/>
        <v>3.5171683588029165E-09</v>
      </c>
    </row>
    <row r="99" spans="1:25" ht="15">
      <c r="A99" s="22">
        <v>765</v>
      </c>
      <c r="B99" s="40">
        <f t="shared" si="16"/>
        <v>5.657421247807228E-82</v>
      </c>
      <c r="C99" s="34">
        <f t="shared" si="20"/>
        <v>7.65E-07</v>
      </c>
      <c r="D99" s="34">
        <f t="shared" si="17"/>
        <v>4.47798618108875</v>
      </c>
      <c r="E99" s="41">
        <f t="shared" si="18"/>
        <v>5221745578963.625</v>
      </c>
      <c r="F99" s="211">
        <v>0.02453418089063106</v>
      </c>
      <c r="G99" s="211">
        <f t="shared" si="19"/>
        <v>0.01459293339151754</v>
      </c>
      <c r="H99" s="211">
        <v>0.00798167316097509</v>
      </c>
      <c r="I99" s="211">
        <f t="shared" si="21"/>
        <v>0.012345679012345678</v>
      </c>
      <c r="J99" s="211">
        <v>0.0004376514947481817</v>
      </c>
      <c r="K99" s="211">
        <v>0.0011483824234198308</v>
      </c>
      <c r="L99" s="211">
        <f t="shared" si="22"/>
        <v>0</v>
      </c>
      <c r="M99" s="212" t="e">
        <f>Toolbox!U86/SUM(Toolbox!U$9:U$89)</f>
        <v>#DIV/0!</v>
      </c>
      <c r="N99" s="28" t="e">
        <f t="shared" si="23"/>
        <v>#DIV/0!</v>
      </c>
      <c r="P99" s="72">
        <v>765</v>
      </c>
      <c r="Q99" s="21">
        <f>Reference!C88*5</f>
        <v>2.757594742411766E-06</v>
      </c>
      <c r="R99" s="21">
        <f>Reference!D88*5</f>
        <v>2.666180514515804E-07</v>
      </c>
      <c r="S99" s="21">
        <f>Reference!E88*5</f>
        <v>1.4561454264616332E-08</v>
      </c>
      <c r="T99" s="21">
        <f>Reference!F88*5</f>
        <v>2.6570027803097045E-09</v>
      </c>
      <c r="U99" s="69">
        <f>Reference!G88*5</f>
        <v>2.0329447748241597E-11</v>
      </c>
      <c r="V99" s="182">
        <f>Reference!H88</f>
        <v>4.24E-05</v>
      </c>
      <c r="X99" s="49">
        <v>765</v>
      </c>
      <c r="Y99" s="172">
        <f t="shared" si="15"/>
        <v>2.6570027803097045E-09</v>
      </c>
    </row>
    <row r="100" spans="1:25" ht="15">
      <c r="A100" s="22">
        <v>770</v>
      </c>
      <c r="B100" s="40">
        <f t="shared" si="16"/>
        <v>2.4019101644018725E-84</v>
      </c>
      <c r="C100" s="34">
        <f t="shared" si="20"/>
        <v>7.7E-07</v>
      </c>
      <c r="D100" s="34">
        <f t="shared" si="17"/>
        <v>4.448908348744018</v>
      </c>
      <c r="E100" s="41">
        <f t="shared" si="18"/>
        <v>5205288587484.598</v>
      </c>
      <c r="F100" s="211">
        <v>0.024787168812376907</v>
      </c>
      <c r="G100" s="211">
        <f t="shared" si="19"/>
        <v>0.014546941916665583</v>
      </c>
      <c r="H100" s="211">
        <v>0.009418864409685002</v>
      </c>
      <c r="I100" s="211">
        <f t="shared" si="21"/>
        <v>0.012345679012345678</v>
      </c>
      <c r="J100" s="211">
        <v>0.0002693239967681118</v>
      </c>
      <c r="K100" s="211">
        <v>0.0010336295445371652</v>
      </c>
      <c r="L100" s="211">
        <f t="shared" si="22"/>
        <v>0</v>
      </c>
      <c r="M100" s="212" t="e">
        <f>Toolbox!U87/SUM(Toolbox!U$9:U$89)</f>
        <v>#DIV/0!</v>
      </c>
      <c r="N100" s="28" t="e">
        <f t="shared" si="23"/>
        <v>#DIV/0!</v>
      </c>
      <c r="P100" s="72">
        <v>770</v>
      </c>
      <c r="Q100" s="21">
        <f>Reference!C89*5</f>
        <v>1.9983857750974147E-06</v>
      </c>
      <c r="R100" s="21">
        <f>Reference!D89*5</f>
        <v>1.9621700401171296E-07</v>
      </c>
      <c r="S100" s="21">
        <f>Reference!E89*5</f>
        <v>1.093521200116888E-08</v>
      </c>
      <c r="T100" s="21">
        <f>Reference!F89*5</f>
        <v>2.0146244669515587E-09</v>
      </c>
      <c r="U100" s="69">
        <f>Reference!G89*5</f>
        <v>1.598079697728929E-11</v>
      </c>
      <c r="V100" s="182">
        <f>Reference!H89</f>
        <v>3E-05</v>
      </c>
      <c r="X100" s="49">
        <v>770</v>
      </c>
      <c r="Y100" s="172">
        <f t="shared" si="15"/>
        <v>2.0146244669515587E-09</v>
      </c>
    </row>
    <row r="101" spans="1:25" ht="15">
      <c r="A101" s="22">
        <v>775</v>
      </c>
      <c r="B101" s="40">
        <f t="shared" si="16"/>
        <v>9.42680704690816E-87</v>
      </c>
      <c r="C101" s="34">
        <f t="shared" si="20"/>
        <v>7.75E-07</v>
      </c>
      <c r="D101" s="34">
        <f t="shared" si="17"/>
        <v>4.420205714235992</v>
      </c>
      <c r="E101" s="41">
        <f t="shared" si="18"/>
        <v>5188059459791.134</v>
      </c>
      <c r="F101" s="211">
        <v>0.02503419546436686</v>
      </c>
      <c r="G101" s="211">
        <f t="shared" si="19"/>
        <v>0.014498792593987444</v>
      </c>
      <c r="H101" s="211">
        <v>0.009177588963923221</v>
      </c>
      <c r="I101" s="211">
        <f t="shared" si="21"/>
        <v>0.012345679012345678</v>
      </c>
      <c r="J101" s="211">
        <v>0.00020199299757608385</v>
      </c>
      <c r="K101" s="211">
        <v>0.0009302178109638387</v>
      </c>
      <c r="L101" s="211">
        <f t="shared" si="22"/>
        <v>0</v>
      </c>
      <c r="M101" s="212" t="e">
        <f>Toolbox!U88/SUM(Toolbox!U$9:U$89)</f>
        <v>#DIV/0!</v>
      </c>
      <c r="N101" s="28" t="e">
        <f t="shared" si="23"/>
        <v>#DIV/0!</v>
      </c>
      <c r="P101" s="72">
        <v>775</v>
      </c>
      <c r="Q101" s="21">
        <f>Reference!C90*5</f>
        <v>1.4538430547136232E-06</v>
      </c>
      <c r="R101" s="21">
        <f>Reference!D90*5</f>
        <v>1.4496282524553945E-07</v>
      </c>
      <c r="S101" s="21">
        <f>Reference!E90*5</f>
        <v>8.241845595557166E-09</v>
      </c>
      <c r="T101" s="21">
        <f>Reference!F90*5</f>
        <v>1.5329163306285174E-09</v>
      </c>
      <c r="U101" s="69">
        <f>Reference!G90*5</f>
        <v>1.2600471846793809E-11</v>
      </c>
      <c r="V101" s="182">
        <f>Reference!H90</f>
        <v>2.12E-05</v>
      </c>
      <c r="X101" s="49">
        <v>775</v>
      </c>
      <c r="Y101" s="172">
        <f t="shared" si="15"/>
        <v>1.5329163306285174E-09</v>
      </c>
    </row>
    <row r="102" spans="1:25" ht="15">
      <c r="A102" s="23">
        <v>780</v>
      </c>
      <c r="B102" s="42">
        <f t="shared" si="16"/>
        <v>3.420125877941044E-89</v>
      </c>
      <c r="C102" s="35">
        <f t="shared" si="20"/>
        <v>7.8E-07</v>
      </c>
      <c r="D102" s="35">
        <f t="shared" si="17"/>
        <v>4.391871062221658</v>
      </c>
      <c r="E102" s="43">
        <f t="shared" si="18"/>
        <v>5170089457890.796</v>
      </c>
      <c r="F102" s="213">
        <v>0.02527526084660091</v>
      </c>
      <c r="G102" s="213">
        <f t="shared" si="19"/>
        <v>0.014448572789745444</v>
      </c>
      <c r="H102" s="213">
        <v>0.008936313518161444</v>
      </c>
      <c r="I102" s="213">
        <f t="shared" si="21"/>
        <v>0.012345679012345678</v>
      </c>
      <c r="J102" s="213">
        <v>0.0001514947481820629</v>
      </c>
      <c r="K102" s="213">
        <v>0.0008371716403076497</v>
      </c>
      <c r="L102" s="213">
        <f t="shared" si="22"/>
        <v>0</v>
      </c>
      <c r="M102" s="214" t="e">
        <f>Toolbox!U89/SUM(Toolbox!U$9:U$89)</f>
        <v>#DIV/0!</v>
      </c>
      <c r="N102" s="29" t="e">
        <f t="shared" si="23"/>
        <v>#DIV/0!</v>
      </c>
      <c r="P102" s="73">
        <v>780</v>
      </c>
      <c r="Q102" s="24">
        <f>Reference!C91*5</f>
        <v>1.0618867341817774E-06</v>
      </c>
      <c r="R102" s="24">
        <f>Reference!D91*5</f>
        <v>1.075151072082767E-07</v>
      </c>
      <c r="S102" s="24">
        <f>Reference!E91*5</f>
        <v>6.234700035937035E-09</v>
      </c>
      <c r="T102" s="24">
        <f>Reference!F91*5</f>
        <v>1.1705361354613373E-09</v>
      </c>
      <c r="U102" s="70">
        <f>Reference!G91*5</f>
        <v>9.96600328380764E-12</v>
      </c>
      <c r="V102" s="183">
        <f>Reference!H91</f>
        <v>1.499E-05</v>
      </c>
      <c r="X102" s="50">
        <v>780</v>
      </c>
      <c r="Y102" s="173">
        <f t="shared" si="15"/>
        <v>1.1705361354613373E-09</v>
      </c>
    </row>
    <row r="104" spans="6:12" ht="15">
      <c r="F104" s="25"/>
      <c r="G104" s="25"/>
      <c r="H104" s="25"/>
      <c r="I104" s="25"/>
      <c r="J104" s="25"/>
      <c r="K104" s="25"/>
      <c r="L104" s="25"/>
    </row>
  </sheetData>
  <sheetProtection password="D0DA" sheet="1"/>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H93"/>
  <sheetViews>
    <sheetView zoomScalePageLayoutView="0" workbookViewId="0" topLeftCell="A1">
      <selection activeCell="A1" sqref="A1"/>
    </sheetView>
  </sheetViews>
  <sheetFormatPr defaultColWidth="9.140625" defaultRowHeight="15"/>
  <cols>
    <col min="1" max="2" width="9.140625" style="185" customWidth="1"/>
    <col min="3" max="7" width="10.00390625" style="185" bestFit="1" customWidth="1"/>
    <col min="8" max="8" width="9.7109375" style="185" bestFit="1" customWidth="1"/>
    <col min="9" max="9" width="2.7109375" style="185" customWidth="1"/>
    <col min="10" max="11" width="9.140625" style="185" customWidth="1"/>
    <col min="12" max="12" width="2.7109375" style="185" customWidth="1"/>
    <col min="13" max="25" width="9.140625" style="185" hidden="1" customWidth="1"/>
    <col min="26" max="26" width="12.00390625" style="185" hidden="1" customWidth="1"/>
    <col min="27" max="34" width="9.140625" style="185" hidden="1" customWidth="1"/>
    <col min="35" max="16384" width="9.140625" style="185" customWidth="1"/>
  </cols>
  <sheetData>
    <row r="2" ht="33">
      <c r="A2" s="26" t="s">
        <v>136</v>
      </c>
    </row>
    <row r="4" spans="2:20" ht="18">
      <c r="B4" s="185" t="s">
        <v>112</v>
      </c>
      <c r="C4" s="190" t="s">
        <v>179</v>
      </c>
      <c r="D4" s="190" t="s">
        <v>180</v>
      </c>
      <c r="E4" s="190" t="s">
        <v>181</v>
      </c>
      <c r="F4" s="190" t="s">
        <v>186</v>
      </c>
      <c r="G4" s="190" t="s">
        <v>182</v>
      </c>
      <c r="H4" s="190" t="s">
        <v>127</v>
      </c>
      <c r="J4" s="185" t="s">
        <v>134</v>
      </c>
      <c r="K4" s="190"/>
      <c r="M4" s="185" t="s">
        <v>149</v>
      </c>
      <c r="T4" s="185" t="s">
        <v>151</v>
      </c>
    </row>
    <row r="5" spans="2:20" ht="13.5">
      <c r="B5" s="185" t="s">
        <v>129</v>
      </c>
      <c r="C5" s="187">
        <f aca="true" t="shared" si="0" ref="C5:H5">SUM(C11:C91)*5</f>
        <v>1</v>
      </c>
      <c r="D5" s="187">
        <f t="shared" si="0"/>
        <v>1.0000000000000002</v>
      </c>
      <c r="E5" s="187">
        <f t="shared" si="0"/>
        <v>0.9999999999999996</v>
      </c>
      <c r="F5" s="187">
        <f t="shared" si="0"/>
        <v>1.0000000000000007</v>
      </c>
      <c r="G5" s="187">
        <f t="shared" si="0"/>
        <v>1.0000000000000004</v>
      </c>
      <c r="H5" s="187">
        <f t="shared" si="0"/>
        <v>106.85663895000002</v>
      </c>
      <c r="J5" s="185" t="s">
        <v>130</v>
      </c>
      <c r="T5" s="185" t="s">
        <v>147</v>
      </c>
    </row>
    <row r="6" spans="2:10" ht="18">
      <c r="B6" s="185" t="s">
        <v>183</v>
      </c>
      <c r="C6" s="189">
        <f>Conversions!$L$17*$H$5/C5</f>
        <v>72983.24979451144</v>
      </c>
      <c r="D6" s="189">
        <f>Conversions!$L$17*$H$5/D5</f>
        <v>72983.24979451143</v>
      </c>
      <c r="E6" s="189">
        <f>Conversions!$L$17*$H$5/E5</f>
        <v>72983.24979451147</v>
      </c>
      <c r="F6" s="189">
        <f>Conversions!$L$17*$H$5/F5</f>
        <v>72983.2497945114</v>
      </c>
      <c r="G6" s="189">
        <f>Conversions!$L$17*$H$5/G5</f>
        <v>72983.24979451142</v>
      </c>
      <c r="H6" s="189">
        <f>Conversions!$L$17*$H$5/H5</f>
        <v>683.0015477902268</v>
      </c>
      <c r="J6" s="185" t="s">
        <v>135</v>
      </c>
    </row>
    <row r="7" spans="2:11" ht="13.5">
      <c r="B7" s="185" t="s">
        <v>126</v>
      </c>
      <c r="C7" s="188">
        <f aca="true" t="shared" si="1" ref="C7:H7">MAX(C11:C91)</f>
        <v>0.00793121156220525</v>
      </c>
      <c r="D7" s="188">
        <f t="shared" si="1"/>
        <v>0.008495626771322921</v>
      </c>
      <c r="E7" s="188">
        <f t="shared" si="1"/>
        <v>0.009664689984209622</v>
      </c>
      <c r="F7" s="188">
        <f t="shared" si="1"/>
        <v>0.011405501551591419</v>
      </c>
      <c r="G7" s="188">
        <f t="shared" si="1"/>
        <v>0.018157064909143865</v>
      </c>
      <c r="H7" s="188">
        <f t="shared" si="1"/>
        <v>1</v>
      </c>
      <c r="J7" s="185" t="s">
        <v>131</v>
      </c>
      <c r="K7" s="191">
        <v>32</v>
      </c>
    </row>
    <row r="8" spans="2:11" ht="13.5">
      <c r="B8" s="185" t="s">
        <v>128</v>
      </c>
      <c r="C8" s="189">
        <f aca="true" t="shared" si="2" ref="C8:H8">C7*C6</f>
        <v>578.845594617543</v>
      </c>
      <c r="D8" s="189">
        <f t="shared" si="2"/>
        <v>620.0384508123994</v>
      </c>
      <c r="E8" s="189">
        <f t="shared" si="2"/>
        <v>705.360483304084</v>
      </c>
      <c r="F8" s="189">
        <f t="shared" si="2"/>
        <v>832.4105687714839</v>
      </c>
      <c r="G8" s="189">
        <f t="shared" si="2"/>
        <v>1325.1616037992044</v>
      </c>
      <c r="H8" s="189">
        <f t="shared" si="2"/>
        <v>683.0015477902268</v>
      </c>
      <c r="J8" s="185" t="s">
        <v>132</v>
      </c>
      <c r="K8" s="185" t="s">
        <v>133</v>
      </c>
    </row>
    <row r="10" spans="2:34" ht="13.5">
      <c r="B10" s="186" t="s">
        <v>194</v>
      </c>
      <c r="C10" s="185" t="s">
        <v>142</v>
      </c>
      <c r="D10" s="185" t="s">
        <v>141</v>
      </c>
      <c r="E10" s="185" t="s">
        <v>140</v>
      </c>
      <c r="F10" s="185" t="s">
        <v>139</v>
      </c>
      <c r="G10" s="185" t="s">
        <v>138</v>
      </c>
      <c r="H10" s="185" t="str">
        <f>Conversions!V21</f>
        <v>photopic</v>
      </c>
      <c r="J10" s="186" t="s">
        <v>194</v>
      </c>
      <c r="K10" s="185" t="s">
        <v>137</v>
      </c>
      <c r="M10" s="185" t="s">
        <v>145</v>
      </c>
      <c r="N10" s="185" t="s">
        <v>148</v>
      </c>
      <c r="P10" s="186" t="s">
        <v>194</v>
      </c>
      <c r="Q10" s="185" t="s">
        <v>150</v>
      </c>
      <c r="T10" s="185" t="s">
        <v>145</v>
      </c>
      <c r="U10" s="185" t="s">
        <v>146</v>
      </c>
      <c r="W10" s="186" t="s">
        <v>194</v>
      </c>
      <c r="X10" s="185" t="s">
        <v>146</v>
      </c>
      <c r="Z10" s="186" t="s">
        <v>194</v>
      </c>
      <c r="AA10" s="185" t="s">
        <v>142</v>
      </c>
      <c r="AB10" s="185" t="s">
        <v>141</v>
      </c>
      <c r="AC10" s="185" t="s">
        <v>140</v>
      </c>
      <c r="AD10" s="185" t="s">
        <v>139</v>
      </c>
      <c r="AE10" s="185" t="s">
        <v>138</v>
      </c>
      <c r="AF10" s="185" t="s">
        <v>54</v>
      </c>
      <c r="AG10" s="185" t="s">
        <v>150</v>
      </c>
      <c r="AH10" s="185" t="s">
        <v>146</v>
      </c>
    </row>
    <row r="11" spans="2:34" ht="13.5">
      <c r="B11" s="186">
        <v>380</v>
      </c>
      <c r="C11" s="188">
        <v>6.776693105333511E-06</v>
      </c>
      <c r="D11" s="188">
        <v>7.855163168944978E-06</v>
      </c>
      <c r="E11" s="188">
        <v>1.0301199554679862E-05</v>
      </c>
      <c r="F11" s="188">
        <v>1.0472133883697766E-05</v>
      </c>
      <c r="G11" s="188">
        <v>9.731193426449608E-05</v>
      </c>
      <c r="H11" s="188">
        <v>3.9E-05</v>
      </c>
      <c r="J11" s="186">
        <v>380</v>
      </c>
      <c r="K11" s="188">
        <v>0.0025118864315095777</v>
      </c>
      <c r="M11" s="185">
        <v>380</v>
      </c>
      <c r="N11" s="185">
        <v>0.000589</v>
      </c>
      <c r="P11" s="186">
        <v>380</v>
      </c>
      <c r="Q11" s="185">
        <f aca="true" t="shared" si="3" ref="Q11:Q42">VLOOKUP($P11,$M$11:$N$93,2,0)</f>
        <v>0.000589</v>
      </c>
      <c r="T11" s="185">
        <v>390</v>
      </c>
      <c r="U11" s="185">
        <v>0.0009574639855804946</v>
      </c>
      <c r="W11" s="186">
        <v>380</v>
      </c>
      <c r="Z11" s="186">
        <v>380</v>
      </c>
      <c r="AA11" s="185">
        <f aca="true" t="shared" si="4" ref="AA11:AA42">C11/C$5</f>
        <v>6.776693105333511E-06</v>
      </c>
      <c r="AB11" s="185">
        <f aca="true" t="shared" si="5" ref="AB11:AB42">D11/D$5</f>
        <v>7.855163168944976E-06</v>
      </c>
      <c r="AC11" s="185">
        <f aca="true" t="shared" si="6" ref="AC11:AC42">E11/E$5</f>
        <v>1.0301199554679867E-05</v>
      </c>
      <c r="AD11" s="185">
        <f aca="true" t="shared" si="7" ref="AD11:AD42">F11/F$5</f>
        <v>1.0472133883697759E-05</v>
      </c>
      <c r="AE11" s="185">
        <f aca="true" t="shared" si="8" ref="AE11:AE42">G11/G$5</f>
        <v>9.731193426449604E-05</v>
      </c>
      <c r="AF11" s="185">
        <f aca="true" t="shared" si="9" ref="AF11:AF42">H11/H$5</f>
        <v>3.649749831477363E-07</v>
      </c>
      <c r="AG11" s="185" t="e">
        <f aca="true" t="shared" si="10" ref="AG11:AG42">0.2*Q11/SUM($Q$11:$Q$91)</f>
        <v>#N/A</v>
      </c>
      <c r="AH11" s="185" t="e">
        <f>0.2*X11/SUM($X$11:$X$91)</f>
        <v>#N/A</v>
      </c>
    </row>
    <row r="12" spans="2:34" ht="13.5">
      <c r="B12" s="186">
        <v>385</v>
      </c>
      <c r="C12" s="188">
        <v>1.187308558057331E-05</v>
      </c>
      <c r="D12" s="188">
        <v>1.3584345958497697E-05</v>
      </c>
      <c r="E12" s="188">
        <v>1.807308106247651E-05</v>
      </c>
      <c r="F12" s="188">
        <v>1.9015684406441974E-05</v>
      </c>
      <c r="G12" s="188">
        <v>0.00018937945447697568</v>
      </c>
      <c r="H12" s="188">
        <v>6.4E-05</v>
      </c>
      <c r="J12" s="186">
        <v>385</v>
      </c>
      <c r="K12" s="188">
        <v>0.004466835921509628</v>
      </c>
      <c r="M12" s="185">
        <v>381</v>
      </c>
      <c r="N12" s="185">
        <v>0.000665</v>
      </c>
      <c r="P12" s="186">
        <v>385</v>
      </c>
      <c r="Q12" s="185">
        <f t="shared" si="3"/>
        <v>0.001108</v>
      </c>
      <c r="T12" s="185">
        <v>391</v>
      </c>
      <c r="U12" s="185">
        <v>0.0011574217283986548</v>
      </c>
      <c r="W12" s="186">
        <v>385</v>
      </c>
      <c r="Z12" s="186">
        <v>385</v>
      </c>
      <c r="AA12" s="185">
        <f t="shared" si="4"/>
        <v>1.187308558057331E-05</v>
      </c>
      <c r="AB12" s="185">
        <f t="shared" si="5"/>
        <v>1.3584345958497693E-05</v>
      </c>
      <c r="AC12" s="185">
        <f t="shared" si="6"/>
        <v>1.8073081062476516E-05</v>
      </c>
      <c r="AD12" s="185">
        <f t="shared" si="7"/>
        <v>1.901568440644196E-05</v>
      </c>
      <c r="AE12" s="185">
        <f t="shared" si="8"/>
        <v>0.0001893794544769756</v>
      </c>
      <c r="AF12" s="185">
        <f t="shared" si="9"/>
        <v>5.989333056783365E-07</v>
      </c>
      <c r="AG12" s="185" t="e">
        <f t="shared" si="10"/>
        <v>#N/A</v>
      </c>
      <c r="AH12" s="185" t="e">
        <f aca="true" t="shared" si="11" ref="AH12:AH75">0.2*X12/SUM($X$11:$X$91)</f>
        <v>#N/A</v>
      </c>
    </row>
    <row r="13" spans="2:34" ht="13.5">
      <c r="B13" s="186">
        <v>390</v>
      </c>
      <c r="C13" s="188">
        <v>2.0643354346914606E-05</v>
      </c>
      <c r="D13" s="188">
        <v>2.3386536719544696E-05</v>
      </c>
      <c r="E13" s="188">
        <v>3.2070292312334965E-05</v>
      </c>
      <c r="F13" s="188">
        <v>3.529336693087641E-05</v>
      </c>
      <c r="G13" s="188">
        <v>0.00036548288907313795</v>
      </c>
      <c r="H13" s="188">
        <v>0.00012</v>
      </c>
      <c r="J13" s="186">
        <v>390</v>
      </c>
      <c r="K13" s="188">
        <v>0.007943282347242819</v>
      </c>
      <c r="M13" s="185">
        <v>382</v>
      </c>
      <c r="N13" s="185">
        <v>0.000752</v>
      </c>
      <c r="P13" s="186">
        <v>390</v>
      </c>
      <c r="Q13" s="185">
        <f t="shared" si="3"/>
        <v>0.002209</v>
      </c>
      <c r="T13" s="185">
        <v>392</v>
      </c>
      <c r="U13" s="185">
        <v>0.0013989194058406952</v>
      </c>
      <c r="W13" s="186">
        <v>390</v>
      </c>
      <c r="X13" s="185">
        <f aca="true" t="shared" si="12" ref="X13:X44">VLOOKUP($W13,$T$11:$U$93,2,0)</f>
        <v>0.0009574639855804946</v>
      </c>
      <c r="Z13" s="186">
        <v>390</v>
      </c>
      <c r="AA13" s="185">
        <f t="shared" si="4"/>
        <v>2.0643354346914606E-05</v>
      </c>
      <c r="AB13" s="185">
        <f t="shared" si="5"/>
        <v>2.338653671954469E-05</v>
      </c>
      <c r="AC13" s="185">
        <f t="shared" si="6"/>
        <v>3.207029231233498E-05</v>
      </c>
      <c r="AD13" s="185">
        <f t="shared" si="7"/>
        <v>3.529336693087639E-05</v>
      </c>
      <c r="AE13" s="185">
        <f t="shared" si="8"/>
        <v>0.0003654828890731378</v>
      </c>
      <c r="AF13" s="185">
        <f t="shared" si="9"/>
        <v>1.122999948146881E-06</v>
      </c>
      <c r="AG13" s="185" t="e">
        <f t="shared" si="10"/>
        <v>#N/A</v>
      </c>
      <c r="AH13" s="185" t="e">
        <f t="shared" si="11"/>
        <v>#N/A</v>
      </c>
    </row>
    <row r="14" spans="2:34" ht="13.5">
      <c r="B14" s="186">
        <v>395</v>
      </c>
      <c r="C14" s="188">
        <v>3.564576875735155E-05</v>
      </c>
      <c r="D14" s="188">
        <v>4.018609900045889E-05</v>
      </c>
      <c r="E14" s="188">
        <v>5.784609351877058E-05</v>
      </c>
      <c r="F14" s="188">
        <v>6.706838755371892E-05</v>
      </c>
      <c r="G14" s="188">
        <v>0.0006985423902451744</v>
      </c>
      <c r="H14" s="188">
        <v>0.000217</v>
      </c>
      <c r="J14" s="186">
        <v>395</v>
      </c>
      <c r="K14" s="188">
        <v>0.014125375446227542</v>
      </c>
      <c r="M14" s="185">
        <v>383</v>
      </c>
      <c r="N14" s="185">
        <v>0.000854</v>
      </c>
      <c r="P14" s="186">
        <v>395</v>
      </c>
      <c r="Q14" s="185">
        <f t="shared" si="3"/>
        <v>0.00453</v>
      </c>
      <c r="T14" s="185">
        <v>393</v>
      </c>
      <c r="U14" s="185">
        <v>0.0016903348822972025</v>
      </c>
      <c r="W14" s="186">
        <v>395</v>
      </c>
      <c r="X14" s="185">
        <f t="shared" si="12"/>
        <v>0.0024646185549782565</v>
      </c>
      <c r="Z14" s="186">
        <v>395</v>
      </c>
      <c r="AA14" s="185">
        <f t="shared" si="4"/>
        <v>3.564576875735155E-05</v>
      </c>
      <c r="AB14" s="185">
        <f t="shared" si="5"/>
        <v>4.0186099000458884E-05</v>
      </c>
      <c r="AC14" s="185">
        <f t="shared" si="6"/>
        <v>5.784609351877061E-05</v>
      </c>
      <c r="AD14" s="185">
        <f t="shared" si="7"/>
        <v>6.706838755371888E-05</v>
      </c>
      <c r="AE14" s="185">
        <f t="shared" si="8"/>
        <v>0.0006985423902451741</v>
      </c>
      <c r="AF14" s="185">
        <f t="shared" si="9"/>
        <v>2.0307582395656096E-06</v>
      </c>
      <c r="AG14" s="185" t="e">
        <f t="shared" si="10"/>
        <v>#N/A</v>
      </c>
      <c r="AH14" s="185" t="e">
        <f t="shared" si="11"/>
        <v>#N/A</v>
      </c>
    </row>
    <row r="15" spans="2:34" ht="13.5">
      <c r="B15" s="186">
        <v>400</v>
      </c>
      <c r="C15" s="188">
        <v>6.119717451490435E-05</v>
      </c>
      <c r="D15" s="188">
        <v>6.915980017163612E-05</v>
      </c>
      <c r="E15" s="188">
        <v>0.00010645574024888054</v>
      </c>
      <c r="F15" s="188">
        <v>0.00013033871264811714</v>
      </c>
      <c r="G15" s="188">
        <v>0.0013212865327848638</v>
      </c>
      <c r="H15" s="188">
        <v>0.000396</v>
      </c>
      <c r="J15" s="186">
        <v>400</v>
      </c>
      <c r="K15" s="188">
        <v>0.025118864315095784</v>
      </c>
      <c r="M15" s="185">
        <v>384</v>
      </c>
      <c r="N15" s="185">
        <v>0.000972</v>
      </c>
      <c r="P15" s="186">
        <v>400</v>
      </c>
      <c r="Q15" s="185">
        <f t="shared" si="3"/>
        <v>0.00929</v>
      </c>
      <c r="T15" s="185">
        <v>394</v>
      </c>
      <c r="U15" s="185">
        <v>0.0020416307115803103</v>
      </c>
      <c r="W15" s="186">
        <v>400</v>
      </c>
      <c r="X15" s="185">
        <f t="shared" si="12"/>
        <v>0.006239615619754632</v>
      </c>
      <c r="Z15" s="186">
        <v>400</v>
      </c>
      <c r="AA15" s="185">
        <f t="shared" si="4"/>
        <v>6.119717451490435E-05</v>
      </c>
      <c r="AB15" s="185">
        <f t="shared" si="5"/>
        <v>6.915980017163611E-05</v>
      </c>
      <c r="AC15" s="185">
        <f t="shared" si="6"/>
        <v>0.00010645574024888058</v>
      </c>
      <c r="AD15" s="185">
        <f t="shared" si="7"/>
        <v>0.00013033871264811706</v>
      </c>
      <c r="AE15" s="185">
        <f t="shared" si="8"/>
        <v>0.0013212865327848632</v>
      </c>
      <c r="AF15" s="185">
        <f t="shared" si="9"/>
        <v>3.705899828884707E-06</v>
      </c>
      <c r="AG15" s="185" t="e">
        <f t="shared" si="10"/>
        <v>#N/A</v>
      </c>
      <c r="AH15" s="185" t="e">
        <f t="shared" si="11"/>
        <v>#N/A</v>
      </c>
    </row>
    <row r="16" spans="2:34" ht="13.5">
      <c r="B16" s="186">
        <v>405</v>
      </c>
      <c r="C16" s="188">
        <v>0.0001054702857330659</v>
      </c>
      <c r="D16" s="188">
        <v>0.0001206781386427586</v>
      </c>
      <c r="E16" s="188">
        <v>0.00020181383705731174</v>
      </c>
      <c r="F16" s="188">
        <v>0.0002601735214761153</v>
      </c>
      <c r="G16" s="188">
        <v>0.0024922870134816777</v>
      </c>
      <c r="H16" s="188">
        <v>0.00064</v>
      </c>
      <c r="J16" s="186">
        <v>405</v>
      </c>
      <c r="K16" s="188">
        <v>0.045029798128808876</v>
      </c>
      <c r="M16" s="185">
        <v>385</v>
      </c>
      <c r="N16" s="185">
        <v>0.001108</v>
      </c>
      <c r="P16" s="186">
        <v>405</v>
      </c>
      <c r="Q16" s="185">
        <f t="shared" si="3"/>
        <v>0.01852</v>
      </c>
      <c r="T16" s="185">
        <v>395</v>
      </c>
      <c r="U16" s="185">
        <v>0.0024646185549782565</v>
      </c>
      <c r="W16" s="186">
        <v>405</v>
      </c>
      <c r="X16" s="185">
        <f t="shared" si="12"/>
        <v>0.015110909850316191</v>
      </c>
      <c r="Z16" s="186">
        <v>405</v>
      </c>
      <c r="AA16" s="185">
        <f t="shared" si="4"/>
        <v>0.0001054702857330659</v>
      </c>
      <c r="AB16" s="185">
        <f t="shared" si="5"/>
        <v>0.00012067813864275857</v>
      </c>
      <c r="AC16" s="185">
        <f t="shared" si="6"/>
        <v>0.00020181383705731182</v>
      </c>
      <c r="AD16" s="185">
        <f t="shared" si="7"/>
        <v>0.00026017352147611516</v>
      </c>
      <c r="AE16" s="185">
        <f t="shared" si="8"/>
        <v>0.0024922870134816764</v>
      </c>
      <c r="AF16" s="185">
        <f t="shared" si="9"/>
        <v>5.989333056783366E-06</v>
      </c>
      <c r="AG16" s="185" t="e">
        <f t="shared" si="10"/>
        <v>#N/A</v>
      </c>
      <c r="AH16" s="185" t="e">
        <f t="shared" si="11"/>
        <v>#N/A</v>
      </c>
    </row>
    <row r="17" spans="2:34" ht="13.5">
      <c r="B17" s="186">
        <v>410</v>
      </c>
      <c r="C17" s="188">
        <v>0.00018139858740055928</v>
      </c>
      <c r="D17" s="188">
        <v>0.00021280388264722605</v>
      </c>
      <c r="E17" s="188">
        <v>0.00039050635553781993</v>
      </c>
      <c r="F17" s="188">
        <v>0.0005264208618442436</v>
      </c>
      <c r="G17" s="188">
        <v>0.004648694155483151</v>
      </c>
      <c r="H17" s="188">
        <v>0.00121</v>
      </c>
      <c r="J17" s="186">
        <v>410</v>
      </c>
      <c r="K17" s="188">
        <v>0.0807235030248838</v>
      </c>
      <c r="M17" s="185">
        <v>386</v>
      </c>
      <c r="N17" s="185">
        <v>0.001268</v>
      </c>
      <c r="P17" s="186">
        <v>410</v>
      </c>
      <c r="Q17" s="185">
        <f t="shared" si="3"/>
        <v>0.03484</v>
      </c>
      <c r="T17" s="185">
        <v>396</v>
      </c>
      <c r="U17" s="185">
        <v>0.002973325420602594</v>
      </c>
      <c r="W17" s="186">
        <v>410</v>
      </c>
      <c r="X17" s="185">
        <f t="shared" si="12"/>
        <v>0.03294402417805361</v>
      </c>
      <c r="Z17" s="186">
        <v>410</v>
      </c>
      <c r="AA17" s="185">
        <f t="shared" si="4"/>
        <v>0.00018139858740055928</v>
      </c>
      <c r="AB17" s="185">
        <f t="shared" si="5"/>
        <v>0.000212803882647226</v>
      </c>
      <c r="AC17" s="185">
        <f t="shared" si="6"/>
        <v>0.0003905063555378201</v>
      </c>
      <c r="AD17" s="185">
        <f t="shared" si="7"/>
        <v>0.0005264208618442433</v>
      </c>
      <c r="AE17" s="185">
        <f t="shared" si="8"/>
        <v>0.004648694155483149</v>
      </c>
      <c r="AF17" s="185">
        <f t="shared" si="9"/>
        <v>1.1323582810481048E-05</v>
      </c>
      <c r="AG17" s="185" t="e">
        <f t="shared" si="10"/>
        <v>#N/A</v>
      </c>
      <c r="AH17" s="185" t="e">
        <f t="shared" si="11"/>
        <v>#N/A</v>
      </c>
    </row>
    <row r="18" spans="2:34" ht="13.5">
      <c r="B18" s="186">
        <v>415</v>
      </c>
      <c r="C18" s="188">
        <v>0.0002636152896257838</v>
      </c>
      <c r="D18" s="188">
        <v>0.0003217461045887614</v>
      </c>
      <c r="E18" s="188">
        <v>0.0006489091694045551</v>
      </c>
      <c r="F18" s="188">
        <v>0.0009064706751992491</v>
      </c>
      <c r="G18" s="188">
        <v>0.007235302057711414</v>
      </c>
      <c r="H18" s="188">
        <v>0.00218</v>
      </c>
      <c r="J18" s="186">
        <v>415</v>
      </c>
      <c r="K18" s="188">
        <v>0.12217996601648717</v>
      </c>
      <c r="M18" s="185">
        <v>387</v>
      </c>
      <c r="N18" s="185">
        <v>0.001453</v>
      </c>
      <c r="P18" s="186">
        <v>415</v>
      </c>
      <c r="Q18" s="185">
        <f t="shared" si="3"/>
        <v>0.0604</v>
      </c>
      <c r="T18" s="185">
        <v>397</v>
      </c>
      <c r="U18" s="185">
        <v>0.003584148571054945</v>
      </c>
      <c r="W18" s="186">
        <v>415</v>
      </c>
      <c r="X18" s="185">
        <f t="shared" si="12"/>
        <v>0.06340545259553447</v>
      </c>
      <c r="Z18" s="186">
        <v>415</v>
      </c>
      <c r="AA18" s="185">
        <f t="shared" si="4"/>
        <v>0.0002636152896257838</v>
      </c>
      <c r="AB18" s="185">
        <f t="shared" si="5"/>
        <v>0.00032174610458876135</v>
      </c>
      <c r="AC18" s="185">
        <f t="shared" si="6"/>
        <v>0.0006489091694045554</v>
      </c>
      <c r="AD18" s="185">
        <f t="shared" si="7"/>
        <v>0.0009064706751992484</v>
      </c>
      <c r="AE18" s="185">
        <f t="shared" si="8"/>
        <v>0.00723530205771141</v>
      </c>
      <c r="AF18" s="185">
        <f t="shared" si="9"/>
        <v>2.040116572466834E-05</v>
      </c>
      <c r="AG18" s="185" t="e">
        <f t="shared" si="10"/>
        <v>#N/A</v>
      </c>
      <c r="AH18" s="185" t="e">
        <f t="shared" si="11"/>
        <v>#N/A</v>
      </c>
    </row>
    <row r="19" spans="2:34" ht="13.5">
      <c r="B19" s="186">
        <v>420</v>
      </c>
      <c r="C19" s="188">
        <v>0.00038475741716406106</v>
      </c>
      <c r="D19" s="188">
        <v>0.000496042031012667</v>
      </c>
      <c r="E19" s="188">
        <v>0.0010913473780479234</v>
      </c>
      <c r="F19" s="188">
        <v>0.0015652607852743327</v>
      </c>
      <c r="G19" s="188">
        <v>0.011119724340683519</v>
      </c>
      <c r="H19" s="188">
        <v>0.004</v>
      </c>
      <c r="J19" s="186">
        <v>420</v>
      </c>
      <c r="K19" s="188">
        <v>0.18492686189780783</v>
      </c>
      <c r="M19" s="185">
        <v>388</v>
      </c>
      <c r="N19" s="185">
        <v>0.001668</v>
      </c>
      <c r="P19" s="186">
        <v>420</v>
      </c>
      <c r="Q19" s="185">
        <f t="shared" si="3"/>
        <v>0.0966</v>
      </c>
      <c r="T19" s="185">
        <v>398</v>
      </c>
      <c r="U19" s="185">
        <v>0.00431637959568118</v>
      </c>
      <c r="W19" s="186">
        <v>420</v>
      </c>
      <c r="X19" s="185">
        <f t="shared" si="12"/>
        <v>0.10935893302217099</v>
      </c>
      <c r="Z19" s="186">
        <v>420</v>
      </c>
      <c r="AA19" s="185">
        <f t="shared" si="4"/>
        <v>0.00038475741716406106</v>
      </c>
      <c r="AB19" s="185">
        <f t="shared" si="5"/>
        <v>0.0004960420310126669</v>
      </c>
      <c r="AC19" s="185">
        <f t="shared" si="6"/>
        <v>0.0010913473780479238</v>
      </c>
      <c r="AD19" s="185">
        <f t="shared" si="7"/>
        <v>0.0015652607852743316</v>
      </c>
      <c r="AE19" s="185">
        <f t="shared" si="8"/>
        <v>0.011119724340683514</v>
      </c>
      <c r="AF19" s="185">
        <f t="shared" si="9"/>
        <v>3.7433331604896034E-05</v>
      </c>
      <c r="AG19" s="185" t="e">
        <f t="shared" si="10"/>
        <v>#N/A</v>
      </c>
      <c r="AH19" s="185" t="e">
        <f t="shared" si="11"/>
        <v>#N/A</v>
      </c>
    </row>
    <row r="20" spans="2:34" ht="13.5">
      <c r="B20" s="186">
        <v>425</v>
      </c>
      <c r="C20" s="188">
        <v>0.000447826578706007</v>
      </c>
      <c r="D20" s="188">
        <v>0.0006181285880271345</v>
      </c>
      <c r="E20" s="188">
        <v>0.0014609390109613049</v>
      </c>
      <c r="F20" s="188">
        <v>0.002133927897675744</v>
      </c>
      <c r="G20" s="188">
        <v>0.013325175315369395</v>
      </c>
      <c r="H20" s="188">
        <v>0.0073</v>
      </c>
      <c r="J20" s="186">
        <v>425</v>
      </c>
      <c r="K20" s="188">
        <v>0.22130947096056378</v>
      </c>
      <c r="M20" s="185">
        <v>389</v>
      </c>
      <c r="N20" s="185">
        <v>0.001918</v>
      </c>
      <c r="P20" s="186">
        <v>425</v>
      </c>
      <c r="Q20" s="185">
        <f t="shared" si="3"/>
        <v>0.1436</v>
      </c>
      <c r="T20" s="185">
        <v>399</v>
      </c>
      <c r="U20" s="185">
        <v>0.005192796419501802</v>
      </c>
      <c r="W20" s="186">
        <v>425</v>
      </c>
      <c r="X20" s="185">
        <f t="shared" si="12"/>
        <v>0.1663483337045228</v>
      </c>
      <c r="Z20" s="186">
        <v>425</v>
      </c>
      <c r="AA20" s="185">
        <f t="shared" si="4"/>
        <v>0.000447826578706007</v>
      </c>
      <c r="AB20" s="185">
        <f t="shared" si="5"/>
        <v>0.0006181285880271344</v>
      </c>
      <c r="AC20" s="185">
        <f t="shared" si="6"/>
        <v>0.0014609390109613055</v>
      </c>
      <c r="AD20" s="185">
        <f t="shared" si="7"/>
        <v>0.0021339278976757426</v>
      </c>
      <c r="AE20" s="185">
        <f t="shared" si="8"/>
        <v>0.01332517531536939</v>
      </c>
      <c r="AF20" s="185">
        <f t="shared" si="9"/>
        <v>6.831583017893525E-05</v>
      </c>
      <c r="AG20" s="185" t="e">
        <f t="shared" si="10"/>
        <v>#N/A</v>
      </c>
      <c r="AH20" s="185" t="e">
        <f t="shared" si="11"/>
        <v>#N/A</v>
      </c>
    </row>
    <row r="21" spans="2:34" ht="13.5">
      <c r="B21" s="186">
        <v>430</v>
      </c>
      <c r="C21" s="188">
        <v>0.000528094298775706</v>
      </c>
      <c r="D21" s="188">
        <v>0.0007875797819727638</v>
      </c>
      <c r="E21" s="188">
        <v>0.001959062394537199</v>
      </c>
      <c r="F21" s="188">
        <v>0.00289546030342176</v>
      </c>
      <c r="G21" s="188">
        <v>0.015718321695057248</v>
      </c>
      <c r="H21" s="188">
        <v>0.0116</v>
      </c>
      <c r="J21" s="186">
        <v>430</v>
      </c>
      <c r="K21" s="188">
        <v>0.26485001386067003</v>
      </c>
      <c r="M21" s="185">
        <v>390</v>
      </c>
      <c r="N21" s="185">
        <v>0.002209</v>
      </c>
      <c r="P21" s="186">
        <v>430</v>
      </c>
      <c r="Q21" s="185">
        <f t="shared" si="3"/>
        <v>0.1998</v>
      </c>
      <c r="T21" s="185">
        <v>400</v>
      </c>
      <c r="U21" s="185">
        <v>0.006239615619754632</v>
      </c>
      <c r="W21" s="186">
        <v>430</v>
      </c>
      <c r="X21" s="185">
        <f t="shared" si="12"/>
        <v>0.2405844823331828</v>
      </c>
      <c r="Z21" s="186">
        <v>430</v>
      </c>
      <c r="AA21" s="185">
        <f t="shared" si="4"/>
        <v>0.000528094298775706</v>
      </c>
      <c r="AB21" s="185">
        <f t="shared" si="5"/>
        <v>0.0007875797819727636</v>
      </c>
      <c r="AC21" s="185">
        <f t="shared" si="6"/>
        <v>0.0019590623945372</v>
      </c>
      <c r="AD21" s="185">
        <f t="shared" si="7"/>
        <v>0.002895460303421758</v>
      </c>
      <c r="AE21" s="185">
        <f t="shared" si="8"/>
        <v>0.01571832169505724</v>
      </c>
      <c r="AF21" s="185">
        <f t="shared" si="9"/>
        <v>0.00010855666165419848</v>
      </c>
      <c r="AG21" s="185" t="e">
        <f t="shared" si="10"/>
        <v>#N/A</v>
      </c>
      <c r="AH21" s="185" t="e">
        <f t="shared" si="11"/>
        <v>#N/A</v>
      </c>
    </row>
    <row r="22" spans="2:34" ht="13.5">
      <c r="B22" s="186">
        <v>435</v>
      </c>
      <c r="C22" s="188">
        <v>0.000594102636663551</v>
      </c>
      <c r="D22" s="188">
        <v>0.0009599436451486728</v>
      </c>
      <c r="E22" s="188">
        <v>0.002457346350644921</v>
      </c>
      <c r="F22" s="188">
        <v>0.003657510225055847</v>
      </c>
      <c r="G22" s="188">
        <v>0.01707175178664056</v>
      </c>
      <c r="H22" s="188">
        <v>0.01684</v>
      </c>
      <c r="J22" s="186">
        <v>435</v>
      </c>
      <c r="K22" s="188">
        <v>0.2971666031738026</v>
      </c>
      <c r="M22" s="185">
        <v>391</v>
      </c>
      <c r="N22" s="185">
        <v>0.002547</v>
      </c>
      <c r="P22" s="186">
        <v>435</v>
      </c>
      <c r="Q22" s="185">
        <f t="shared" si="3"/>
        <v>0.2625</v>
      </c>
      <c r="T22" s="185">
        <v>401</v>
      </c>
      <c r="U22" s="185">
        <v>0.0074866078450553705</v>
      </c>
      <c r="W22" s="186">
        <v>435</v>
      </c>
      <c r="X22" s="185">
        <f t="shared" si="12"/>
        <v>0.323736106643665</v>
      </c>
      <c r="Z22" s="186">
        <v>435</v>
      </c>
      <c r="AA22" s="185">
        <f t="shared" si="4"/>
        <v>0.000594102636663551</v>
      </c>
      <c r="AB22" s="185">
        <f t="shared" si="5"/>
        <v>0.0009599436451486725</v>
      </c>
      <c r="AC22" s="185">
        <f t="shared" si="6"/>
        <v>0.0024573463506449224</v>
      </c>
      <c r="AD22" s="185">
        <f t="shared" si="7"/>
        <v>0.0036575102250558443</v>
      </c>
      <c r="AE22" s="185">
        <f t="shared" si="8"/>
        <v>0.017071751786640554</v>
      </c>
      <c r="AF22" s="185">
        <f t="shared" si="9"/>
        <v>0.0001575943260566123</v>
      </c>
      <c r="AG22" s="185" t="e">
        <f t="shared" si="10"/>
        <v>#N/A</v>
      </c>
      <c r="AH22" s="185" t="e">
        <f t="shared" si="11"/>
        <v>#N/A</v>
      </c>
    </row>
    <row r="23" spans="2:34" ht="13.5">
      <c r="B23" s="186">
        <v>440</v>
      </c>
      <c r="C23" s="188">
        <v>0.0006823318334468246</v>
      </c>
      <c r="D23" s="188">
        <v>0.0011890995449707364</v>
      </c>
      <c r="E23" s="188">
        <v>0.0030662098958075994</v>
      </c>
      <c r="F23" s="188">
        <v>0.004580301991904003</v>
      </c>
      <c r="G23" s="188">
        <v>0.018157064909143865</v>
      </c>
      <c r="H23" s="188">
        <v>0.023</v>
      </c>
      <c r="J23" s="186">
        <v>440</v>
      </c>
      <c r="K23" s="188">
        <v>0.333426412763235</v>
      </c>
      <c r="M23" s="185">
        <v>392</v>
      </c>
      <c r="N23" s="185">
        <v>0.002939</v>
      </c>
      <c r="P23" s="186">
        <v>440</v>
      </c>
      <c r="Q23" s="185">
        <f t="shared" si="3"/>
        <v>0.3281</v>
      </c>
      <c r="T23" s="185">
        <v>402</v>
      </c>
      <c r="U23" s="185">
        <v>0.008964952944208612</v>
      </c>
      <c r="W23" s="186">
        <v>440</v>
      </c>
      <c r="X23" s="185">
        <f t="shared" si="12"/>
        <v>0.41979416976546957</v>
      </c>
      <c r="Z23" s="186">
        <v>440</v>
      </c>
      <c r="AA23" s="185">
        <f t="shared" si="4"/>
        <v>0.0006823318334468246</v>
      </c>
      <c r="AB23" s="185">
        <f t="shared" si="5"/>
        <v>0.0011890995449707362</v>
      </c>
      <c r="AC23" s="185">
        <f t="shared" si="6"/>
        <v>0.0030662098958076007</v>
      </c>
      <c r="AD23" s="185">
        <f t="shared" si="7"/>
        <v>0.004580301991903999</v>
      </c>
      <c r="AE23" s="185">
        <f t="shared" si="8"/>
        <v>0.018157064909143858</v>
      </c>
      <c r="AF23" s="185">
        <f t="shared" si="9"/>
        <v>0.0002152416567281522</v>
      </c>
      <c r="AG23" s="185" t="e">
        <f t="shared" si="10"/>
        <v>#N/A</v>
      </c>
      <c r="AH23" s="185" t="e">
        <f t="shared" si="11"/>
        <v>#N/A</v>
      </c>
    </row>
    <row r="24" spans="2:34" ht="13.5">
      <c r="B24" s="186">
        <v>445</v>
      </c>
      <c r="C24" s="188">
        <v>0.0007626019892438726</v>
      </c>
      <c r="D24" s="188">
        <v>0.001417694289726937</v>
      </c>
      <c r="E24" s="188">
        <v>0.0036149417294476195</v>
      </c>
      <c r="F24" s="188">
        <v>0.005406234713239</v>
      </c>
      <c r="G24" s="188">
        <v>0.017936715341108574</v>
      </c>
      <c r="H24" s="188">
        <v>0.0298</v>
      </c>
      <c r="J24" s="186">
        <v>445</v>
      </c>
      <c r="K24" s="188">
        <v>0.3560409900359572</v>
      </c>
      <c r="M24" s="185">
        <v>393</v>
      </c>
      <c r="N24" s="185">
        <v>0.003394</v>
      </c>
      <c r="P24" s="186">
        <v>445</v>
      </c>
      <c r="Q24" s="185">
        <f t="shared" si="3"/>
        <v>0.3931</v>
      </c>
      <c r="T24" s="185">
        <v>403</v>
      </c>
      <c r="U24" s="185">
        <v>0.010706829211453626</v>
      </c>
      <c r="W24" s="186">
        <v>445</v>
      </c>
      <c r="X24" s="185">
        <f t="shared" si="12"/>
        <v>0.5089039928306279</v>
      </c>
      <c r="Z24" s="186">
        <v>445</v>
      </c>
      <c r="AA24" s="185">
        <f t="shared" si="4"/>
        <v>0.0007626019892438726</v>
      </c>
      <c r="AB24" s="185">
        <f t="shared" si="5"/>
        <v>0.0014176942897269368</v>
      </c>
      <c r="AC24" s="185">
        <f t="shared" si="6"/>
        <v>0.0036149417294476212</v>
      </c>
      <c r="AD24" s="185">
        <f t="shared" si="7"/>
        <v>0.005406234713238997</v>
      </c>
      <c r="AE24" s="185">
        <f t="shared" si="8"/>
        <v>0.017936715341108567</v>
      </c>
      <c r="AF24" s="185">
        <f t="shared" si="9"/>
        <v>0.0002788783204564754</v>
      </c>
      <c r="AG24" s="185" t="e">
        <f t="shared" si="10"/>
        <v>#N/A</v>
      </c>
      <c r="AH24" s="185" t="e">
        <f t="shared" si="11"/>
        <v>#N/A</v>
      </c>
    </row>
    <row r="25" spans="2:34" ht="13.5">
      <c r="B25" s="186">
        <v>450</v>
      </c>
      <c r="C25" s="188">
        <v>0.00087101466404394</v>
      </c>
      <c r="D25" s="188">
        <v>0.0017008688671826706</v>
      </c>
      <c r="E25" s="188">
        <v>0.004226377279199983</v>
      </c>
      <c r="F25" s="188">
        <v>0.00631540005011205</v>
      </c>
      <c r="G25" s="188">
        <v>0.017225769986274446</v>
      </c>
      <c r="H25" s="188">
        <v>0.038</v>
      </c>
      <c r="J25" s="186">
        <v>450</v>
      </c>
      <c r="K25" s="188">
        <v>0.38018939632056115</v>
      </c>
      <c r="M25" s="185">
        <v>394</v>
      </c>
      <c r="N25" s="185">
        <v>0.003921</v>
      </c>
      <c r="P25" s="186">
        <v>450</v>
      </c>
      <c r="Q25" s="185">
        <f t="shared" si="3"/>
        <v>0.455</v>
      </c>
      <c r="T25" s="185">
        <v>404</v>
      </c>
      <c r="U25" s="185">
        <v>0.012744926493730598</v>
      </c>
      <c r="W25" s="186">
        <v>450</v>
      </c>
      <c r="X25" s="185">
        <f t="shared" si="12"/>
        <v>0.6051688406443554</v>
      </c>
      <c r="Z25" s="186">
        <v>450</v>
      </c>
      <c r="AA25" s="185">
        <f t="shared" si="4"/>
        <v>0.00087101466404394</v>
      </c>
      <c r="AB25" s="185">
        <f t="shared" si="5"/>
        <v>0.0017008688671826702</v>
      </c>
      <c r="AC25" s="185">
        <f t="shared" si="6"/>
        <v>0.004226377279199985</v>
      </c>
      <c r="AD25" s="185">
        <f t="shared" si="7"/>
        <v>0.006315400050112045</v>
      </c>
      <c r="AE25" s="185">
        <f t="shared" si="8"/>
        <v>0.01722576998627444</v>
      </c>
      <c r="AF25" s="185">
        <f t="shared" si="9"/>
        <v>0.0003556166502465123</v>
      </c>
      <c r="AG25" s="185" t="e">
        <f t="shared" si="10"/>
        <v>#N/A</v>
      </c>
      <c r="AH25" s="185" t="e">
        <f t="shared" si="11"/>
        <v>#N/A</v>
      </c>
    </row>
    <row r="26" spans="2:34" ht="13.5">
      <c r="B26" s="186">
        <v>455</v>
      </c>
      <c r="C26" s="188">
        <v>0.0009978366977817766</v>
      </c>
      <c r="D26" s="188">
        <v>0.0020116142925891783</v>
      </c>
      <c r="E26" s="188">
        <v>0.004819224020492748</v>
      </c>
      <c r="F26" s="188">
        <v>0.007181519150018481</v>
      </c>
      <c r="G26" s="188">
        <v>0.01575540581657214</v>
      </c>
      <c r="H26" s="188">
        <v>0.048</v>
      </c>
      <c r="J26" s="186">
        <v>455</v>
      </c>
      <c r="K26" s="188">
        <v>0.3994845613082854</v>
      </c>
      <c r="M26" s="185">
        <v>395</v>
      </c>
      <c r="N26" s="185">
        <v>0.00453</v>
      </c>
      <c r="P26" s="186">
        <v>455</v>
      </c>
      <c r="Q26" s="185">
        <f t="shared" si="3"/>
        <v>0.513</v>
      </c>
      <c r="T26" s="185">
        <v>405</v>
      </c>
      <c r="U26" s="185">
        <v>0.015110909850316191</v>
      </c>
      <c r="W26" s="186">
        <v>455</v>
      </c>
      <c r="X26" s="185">
        <f t="shared" si="12"/>
        <v>0.6834972833082759</v>
      </c>
      <c r="Z26" s="186">
        <v>455</v>
      </c>
      <c r="AA26" s="185">
        <f t="shared" si="4"/>
        <v>0.0009978366977817766</v>
      </c>
      <c r="AB26" s="185">
        <f t="shared" si="5"/>
        <v>0.002011614292589178</v>
      </c>
      <c r="AC26" s="185">
        <f t="shared" si="6"/>
        <v>0.004819224020492749</v>
      </c>
      <c r="AD26" s="185">
        <f t="shared" si="7"/>
        <v>0.007181519150018476</v>
      </c>
      <c r="AE26" s="185">
        <f t="shared" si="8"/>
        <v>0.015755405816572133</v>
      </c>
      <c r="AF26" s="185">
        <f t="shared" si="9"/>
        <v>0.0004491999792587524</v>
      </c>
      <c r="AG26" s="185" t="e">
        <f t="shared" si="10"/>
        <v>#N/A</v>
      </c>
      <c r="AH26" s="185" t="e">
        <f t="shared" si="11"/>
        <v>#N/A</v>
      </c>
    </row>
    <row r="27" spans="2:34" ht="13.5">
      <c r="B27" s="186">
        <v>460</v>
      </c>
      <c r="C27" s="188">
        <v>0.0011605357868873095</v>
      </c>
      <c r="D27" s="188">
        <v>0.0023748215401676155</v>
      </c>
      <c r="E27" s="188">
        <v>0.005446162381699402</v>
      </c>
      <c r="F27" s="188">
        <v>0.008075649616065014</v>
      </c>
      <c r="G27" s="188">
        <v>0.013879312645971115</v>
      </c>
      <c r="H27" s="188">
        <v>0.06</v>
      </c>
      <c r="J27" s="186">
        <v>460</v>
      </c>
      <c r="K27" s="188">
        <v>0.4197589839910075</v>
      </c>
      <c r="M27" s="185">
        <v>396</v>
      </c>
      <c r="N27" s="185">
        <v>0.00524</v>
      </c>
      <c r="P27" s="186">
        <v>460</v>
      </c>
      <c r="Q27" s="185">
        <f t="shared" si="3"/>
        <v>0.567</v>
      </c>
      <c r="T27" s="185">
        <v>406</v>
      </c>
      <c r="U27" s="185">
        <v>0.017835020732992892</v>
      </c>
      <c r="W27" s="186">
        <v>460</v>
      </c>
      <c r="X27" s="185">
        <f t="shared" si="12"/>
        <v>0.758282827315111</v>
      </c>
      <c r="Z27" s="186">
        <v>460</v>
      </c>
      <c r="AA27" s="185">
        <f t="shared" si="4"/>
        <v>0.0011605357868873095</v>
      </c>
      <c r="AB27" s="185">
        <f t="shared" si="5"/>
        <v>0.002374821540167615</v>
      </c>
      <c r="AC27" s="185">
        <f t="shared" si="6"/>
        <v>0.005446162381699405</v>
      </c>
      <c r="AD27" s="185">
        <f t="shared" si="7"/>
        <v>0.008075649616065009</v>
      </c>
      <c r="AE27" s="185">
        <f t="shared" si="8"/>
        <v>0.013879312645971108</v>
      </c>
      <c r="AF27" s="185">
        <f t="shared" si="9"/>
        <v>0.0005614999740734404</v>
      </c>
      <c r="AG27" s="185" t="e">
        <f t="shared" si="10"/>
        <v>#N/A</v>
      </c>
      <c r="AH27" s="185" t="e">
        <f t="shared" si="11"/>
        <v>#N/A</v>
      </c>
    </row>
    <row r="28" spans="2:34" ht="13.5">
      <c r="B28" s="186">
        <v>465</v>
      </c>
      <c r="C28" s="188">
        <v>0.0013608207068560787</v>
      </c>
      <c r="D28" s="188">
        <v>0.0027845271501588443</v>
      </c>
      <c r="E28" s="188">
        <v>0.006086790386919951</v>
      </c>
      <c r="F28" s="188">
        <v>0.008955784346166415</v>
      </c>
      <c r="G28" s="188">
        <v>0.01168977070023147</v>
      </c>
      <c r="H28" s="188">
        <v>0.0739</v>
      </c>
      <c r="J28" s="186">
        <v>465</v>
      </c>
      <c r="K28" s="188">
        <v>0.4400479478359838</v>
      </c>
      <c r="M28" s="185">
        <v>397</v>
      </c>
      <c r="N28" s="185">
        <v>0.00605</v>
      </c>
      <c r="P28" s="186">
        <v>465</v>
      </c>
      <c r="Q28" s="185" t="e">
        <f t="shared" si="3"/>
        <v>#N/A</v>
      </c>
      <c r="T28" s="185">
        <v>407</v>
      </c>
      <c r="U28" s="185">
        <v>0.02095024275330028</v>
      </c>
      <c r="W28" s="186">
        <v>465</v>
      </c>
      <c r="X28" s="185">
        <f t="shared" si="12"/>
        <v>0.8298985940364947</v>
      </c>
      <c r="Z28" s="186">
        <v>465</v>
      </c>
      <c r="AA28" s="185">
        <f t="shared" si="4"/>
        <v>0.0013608207068560787</v>
      </c>
      <c r="AB28" s="185">
        <f t="shared" si="5"/>
        <v>0.002784527150158844</v>
      </c>
      <c r="AC28" s="185">
        <f t="shared" si="6"/>
        <v>0.0060867903869199535</v>
      </c>
      <c r="AD28" s="185">
        <f t="shared" si="7"/>
        <v>0.00895578434616641</v>
      </c>
      <c r="AE28" s="185">
        <f t="shared" si="8"/>
        <v>0.011689770700231465</v>
      </c>
      <c r="AF28" s="185">
        <f t="shared" si="9"/>
        <v>0.0006915808014004542</v>
      </c>
      <c r="AG28" s="185" t="e">
        <f t="shared" si="10"/>
        <v>#N/A</v>
      </c>
      <c r="AH28" s="185" t="e">
        <f t="shared" si="11"/>
        <v>#N/A</v>
      </c>
    </row>
    <row r="29" spans="2:34" ht="13.5">
      <c r="B29" s="186">
        <v>470</v>
      </c>
      <c r="C29" s="188">
        <v>0.0016050662324624287</v>
      </c>
      <c r="D29" s="188">
        <v>0.0032440755026258913</v>
      </c>
      <c r="E29" s="188">
        <v>0.00674540691842523</v>
      </c>
      <c r="F29" s="188">
        <v>0.009812047853294677</v>
      </c>
      <c r="G29" s="188">
        <v>0.009393863582624189</v>
      </c>
      <c r="H29" s="188">
        <v>0.09098</v>
      </c>
      <c r="J29" s="186">
        <v>470</v>
      </c>
      <c r="K29" s="188">
        <v>0.4613175745603793</v>
      </c>
      <c r="M29" s="185">
        <v>398</v>
      </c>
      <c r="N29" s="185">
        <v>0.00698</v>
      </c>
      <c r="P29" s="186">
        <v>470</v>
      </c>
      <c r="Q29" s="185" t="e">
        <f t="shared" si="3"/>
        <v>#N/A</v>
      </c>
      <c r="T29" s="185">
        <v>408</v>
      </c>
      <c r="U29" s="185">
        <v>0.02448835292038888</v>
      </c>
      <c r="W29" s="186">
        <v>470</v>
      </c>
      <c r="X29" s="185">
        <f t="shared" si="12"/>
        <v>0.8845007486464679</v>
      </c>
      <c r="Z29" s="186">
        <v>470</v>
      </c>
      <c r="AA29" s="185">
        <f t="shared" si="4"/>
        <v>0.0016050662324624287</v>
      </c>
      <c r="AB29" s="185">
        <f t="shared" si="5"/>
        <v>0.0032440755026258905</v>
      </c>
      <c r="AC29" s="185">
        <f t="shared" si="6"/>
        <v>0.006745406918425232</v>
      </c>
      <c r="AD29" s="185">
        <f t="shared" si="7"/>
        <v>0.00981204785329467</v>
      </c>
      <c r="AE29" s="185">
        <f t="shared" si="8"/>
        <v>0.009393863582624186</v>
      </c>
      <c r="AF29" s="185">
        <f t="shared" si="9"/>
        <v>0.0008514211273533603</v>
      </c>
      <c r="AG29" s="185" t="e">
        <f t="shared" si="10"/>
        <v>#N/A</v>
      </c>
      <c r="AH29" s="185" t="e">
        <f t="shared" si="11"/>
        <v>#N/A</v>
      </c>
    </row>
    <row r="30" spans="2:34" ht="13.5">
      <c r="B30" s="186">
        <v>475</v>
      </c>
      <c r="C30" s="188">
        <v>0.0018705731944178901</v>
      </c>
      <c r="D30" s="188">
        <v>0.0036994552191991154</v>
      </c>
      <c r="E30" s="188">
        <v>0.007313056169873331</v>
      </c>
      <c r="F30" s="188">
        <v>0.010467211546381968</v>
      </c>
      <c r="G30" s="188">
        <v>0.0070861340845199215</v>
      </c>
      <c r="H30" s="188">
        <v>0.1126</v>
      </c>
      <c r="J30" s="186">
        <v>475</v>
      </c>
      <c r="K30" s="188">
        <v>0.4769798141192214</v>
      </c>
      <c r="M30" s="185">
        <v>399</v>
      </c>
      <c r="N30" s="185">
        <v>0.00806</v>
      </c>
      <c r="P30" s="186">
        <v>475</v>
      </c>
      <c r="Q30" s="185" t="e">
        <f t="shared" si="3"/>
        <v>#N/A</v>
      </c>
      <c r="T30" s="185">
        <v>409</v>
      </c>
      <c r="U30" s="185">
        <v>0.028477891925230387</v>
      </c>
      <c r="W30" s="186">
        <v>475</v>
      </c>
      <c r="X30" s="185" t="e">
        <f t="shared" si="12"/>
        <v>#N/A</v>
      </c>
      <c r="Z30" s="186">
        <v>475</v>
      </c>
      <c r="AA30" s="185">
        <f t="shared" si="4"/>
        <v>0.0018705731944178901</v>
      </c>
      <c r="AB30" s="185">
        <f t="shared" si="5"/>
        <v>0.0036994552191991145</v>
      </c>
      <c r="AC30" s="185">
        <f t="shared" si="6"/>
        <v>0.007313056169873334</v>
      </c>
      <c r="AD30" s="185">
        <f t="shared" si="7"/>
        <v>0.010467211546381961</v>
      </c>
      <c r="AE30" s="185">
        <f t="shared" si="8"/>
        <v>0.007086134084519918</v>
      </c>
      <c r="AF30" s="185">
        <f t="shared" si="9"/>
        <v>0.0010537482846778234</v>
      </c>
      <c r="AG30" s="185" t="e">
        <f t="shared" si="10"/>
        <v>#N/A</v>
      </c>
      <c r="AH30" s="185" t="e">
        <f t="shared" si="11"/>
        <v>#N/A</v>
      </c>
    </row>
    <row r="31" spans="2:34" ht="13.5">
      <c r="B31" s="186">
        <v>480</v>
      </c>
      <c r="C31" s="188">
        <v>0.002176786448932932</v>
      </c>
      <c r="D31" s="188">
        <v>0.004184253404853831</v>
      </c>
      <c r="E31" s="188">
        <v>0.007866543689126365</v>
      </c>
      <c r="F31" s="188">
        <v>0.011013205321202871</v>
      </c>
      <c r="G31" s="188">
        <v>0.005090737998460658</v>
      </c>
      <c r="H31" s="188">
        <v>0.13902</v>
      </c>
      <c r="J31" s="186">
        <v>480</v>
      </c>
      <c r="K31" s="188">
        <v>0.4931738039549359</v>
      </c>
      <c r="M31" s="185">
        <v>400</v>
      </c>
      <c r="N31" s="185">
        <v>0.00929</v>
      </c>
      <c r="P31" s="186">
        <v>480</v>
      </c>
      <c r="Q31" s="185" t="e">
        <f t="shared" si="3"/>
        <v>#N/A</v>
      </c>
      <c r="T31" s="185">
        <v>410</v>
      </c>
      <c r="U31" s="185">
        <v>0.03294402417805361</v>
      </c>
      <c r="W31" s="186">
        <v>480</v>
      </c>
      <c r="X31" s="185" t="e">
        <f t="shared" si="12"/>
        <v>#N/A</v>
      </c>
      <c r="Z31" s="186">
        <v>480</v>
      </c>
      <c r="AA31" s="185">
        <f t="shared" si="4"/>
        <v>0.002176786448932932</v>
      </c>
      <c r="AB31" s="185">
        <f t="shared" si="5"/>
        <v>0.00418425340485383</v>
      </c>
      <c r="AC31" s="185">
        <f t="shared" si="6"/>
        <v>0.007866543689126369</v>
      </c>
      <c r="AD31" s="185">
        <f t="shared" si="7"/>
        <v>0.011013205321202865</v>
      </c>
      <c r="AE31" s="185">
        <f t="shared" si="8"/>
        <v>0.005090737998460655</v>
      </c>
      <c r="AF31" s="185">
        <f t="shared" si="9"/>
        <v>0.0013009954399281617</v>
      </c>
      <c r="AG31" s="185" t="e">
        <f t="shared" si="10"/>
        <v>#N/A</v>
      </c>
      <c r="AH31" s="185" t="e">
        <f t="shared" si="11"/>
        <v>#N/A</v>
      </c>
    </row>
    <row r="32" spans="2:34" ht="13.5">
      <c r="B32" s="186">
        <v>485</v>
      </c>
      <c r="C32" s="188">
        <v>0.002497070013912421</v>
      </c>
      <c r="D32" s="188">
        <v>0.0046444427500141605</v>
      </c>
      <c r="E32" s="188">
        <v>0.008310607047681728</v>
      </c>
      <c r="F32" s="188">
        <v>0.011298533117969339</v>
      </c>
      <c r="G32" s="188">
        <v>0.0034617660537535123</v>
      </c>
      <c r="H32" s="188">
        <v>0.1693</v>
      </c>
      <c r="J32" s="186">
        <v>485</v>
      </c>
      <c r="K32" s="188">
        <v>0.5046612975635283</v>
      </c>
      <c r="M32" s="185">
        <v>401</v>
      </c>
      <c r="N32" s="185">
        <v>0.0107</v>
      </c>
      <c r="P32" s="186">
        <v>485</v>
      </c>
      <c r="Q32" s="185" t="e">
        <f t="shared" si="3"/>
        <v>#N/A</v>
      </c>
      <c r="T32" s="185">
        <v>411</v>
      </c>
      <c r="U32" s="185">
        <v>0.037906966397191016</v>
      </c>
      <c r="W32" s="186">
        <v>485</v>
      </c>
      <c r="X32" s="185" t="e">
        <f t="shared" si="12"/>
        <v>#N/A</v>
      </c>
      <c r="Z32" s="186">
        <v>485</v>
      </c>
      <c r="AA32" s="185">
        <f t="shared" si="4"/>
        <v>0.002497070013912421</v>
      </c>
      <c r="AB32" s="185">
        <f t="shared" si="5"/>
        <v>0.00464444275001416</v>
      </c>
      <c r="AC32" s="185">
        <f t="shared" si="6"/>
        <v>0.008310607047681731</v>
      </c>
      <c r="AD32" s="185">
        <f t="shared" si="7"/>
        <v>0.011298533117969332</v>
      </c>
      <c r="AE32" s="185">
        <f t="shared" si="8"/>
        <v>0.0034617660537535106</v>
      </c>
      <c r="AF32" s="185">
        <f t="shared" si="9"/>
        <v>0.0015843657601772247</v>
      </c>
      <c r="AG32" s="185" t="e">
        <f t="shared" si="10"/>
        <v>#N/A</v>
      </c>
      <c r="AH32" s="185" t="e">
        <f t="shared" si="11"/>
        <v>#N/A</v>
      </c>
    </row>
    <row r="33" spans="2:34" ht="13.5">
      <c r="B33" s="186">
        <v>490</v>
      </c>
      <c r="C33" s="188">
        <v>0.0028480511202713206</v>
      </c>
      <c r="D33" s="188">
        <v>0.005112210455642812</v>
      </c>
      <c r="E33" s="188">
        <v>0.008712425277500851</v>
      </c>
      <c r="F33" s="188">
        <v>0.011405501551591419</v>
      </c>
      <c r="G33" s="188">
        <v>0.002267673412359065</v>
      </c>
      <c r="H33" s="188">
        <v>0.20802</v>
      </c>
      <c r="J33" s="186">
        <v>490</v>
      </c>
      <c r="K33" s="188">
        <v>0.5164163692720709</v>
      </c>
      <c r="M33" s="185">
        <v>402</v>
      </c>
      <c r="N33" s="185">
        <v>0.01231</v>
      </c>
      <c r="P33" s="186">
        <v>490</v>
      </c>
      <c r="Q33" s="185" t="e">
        <f t="shared" si="3"/>
        <v>#N/A</v>
      </c>
      <c r="T33" s="185">
        <v>412</v>
      </c>
      <c r="U33" s="185">
        <v>0.0433978592665183</v>
      </c>
      <c r="W33" s="186">
        <v>490</v>
      </c>
      <c r="X33" s="185" t="e">
        <f t="shared" si="12"/>
        <v>#N/A</v>
      </c>
      <c r="Z33" s="186">
        <v>490</v>
      </c>
      <c r="AA33" s="185">
        <f t="shared" si="4"/>
        <v>0.0028480511202713206</v>
      </c>
      <c r="AB33" s="185">
        <f t="shared" si="5"/>
        <v>0.0051122104556428115</v>
      </c>
      <c r="AC33" s="185">
        <f t="shared" si="6"/>
        <v>0.008712425277500855</v>
      </c>
      <c r="AD33" s="185">
        <f t="shared" si="7"/>
        <v>0.011405501551591412</v>
      </c>
      <c r="AE33" s="185">
        <f t="shared" si="8"/>
        <v>0.002267673412359064</v>
      </c>
      <c r="AF33" s="185">
        <f t="shared" si="9"/>
        <v>0.0019467204101126182</v>
      </c>
      <c r="AG33" s="185" t="e">
        <f t="shared" si="10"/>
        <v>#N/A</v>
      </c>
      <c r="AH33" s="185" t="e">
        <f t="shared" si="11"/>
        <v>#N/A</v>
      </c>
    </row>
    <row r="34" spans="2:34" ht="13.5">
      <c r="B34" s="186">
        <v>495</v>
      </c>
      <c r="C34" s="188">
        <v>0.0032259641318746453</v>
      </c>
      <c r="D34" s="188">
        <v>0.00558140795106216</v>
      </c>
      <c r="E34" s="188">
        <v>0.00906159450004521</v>
      </c>
      <c r="F34" s="188">
        <v>0.01131451176131155</v>
      </c>
      <c r="G34" s="188">
        <v>0.0014434543819177958</v>
      </c>
      <c r="H34" s="188">
        <v>0.2586</v>
      </c>
      <c r="J34" s="186">
        <v>495</v>
      </c>
      <c r="K34" s="188">
        <v>0.5284452517751803</v>
      </c>
      <c r="M34" s="185">
        <v>403</v>
      </c>
      <c r="N34" s="185">
        <v>0.01413</v>
      </c>
      <c r="P34" s="186">
        <v>495</v>
      </c>
      <c r="Q34" s="185" t="e">
        <f t="shared" si="3"/>
        <v>#N/A</v>
      </c>
      <c r="T34" s="185">
        <v>413</v>
      </c>
      <c r="U34" s="185">
        <v>0.04945135201685102</v>
      </c>
      <c r="W34" s="186">
        <v>495</v>
      </c>
      <c r="X34" s="185" t="e">
        <f t="shared" si="12"/>
        <v>#N/A</v>
      </c>
      <c r="Z34" s="186">
        <v>495</v>
      </c>
      <c r="AA34" s="185">
        <f t="shared" si="4"/>
        <v>0.0032259641318746453</v>
      </c>
      <c r="AB34" s="185">
        <f t="shared" si="5"/>
        <v>0.005581407951062159</v>
      </c>
      <c r="AC34" s="185">
        <f t="shared" si="6"/>
        <v>0.009061594500045213</v>
      </c>
      <c r="AD34" s="185">
        <f t="shared" si="7"/>
        <v>0.011314511761311543</v>
      </c>
      <c r="AE34" s="185">
        <f t="shared" si="8"/>
        <v>0.0014434543819177952</v>
      </c>
      <c r="AF34" s="185">
        <f t="shared" si="9"/>
        <v>0.002420064888256528</v>
      </c>
      <c r="AG34" s="185" t="e">
        <f t="shared" si="10"/>
        <v>#N/A</v>
      </c>
      <c r="AH34" s="185" t="e">
        <f t="shared" si="11"/>
        <v>#N/A</v>
      </c>
    </row>
    <row r="35" spans="2:34" ht="13.5">
      <c r="B35" s="186">
        <v>500</v>
      </c>
      <c r="C35" s="188">
        <v>0.0036263469889723154</v>
      </c>
      <c r="D35" s="188">
        <v>0.006046135731733874</v>
      </c>
      <c r="E35" s="188">
        <v>0.009346036076115467</v>
      </c>
      <c r="F35" s="188">
        <v>0.011017163132016592</v>
      </c>
      <c r="G35" s="188">
        <v>0.0009006021814533104</v>
      </c>
      <c r="H35" s="188">
        <v>0.323</v>
      </c>
      <c r="J35" s="186">
        <v>500</v>
      </c>
      <c r="K35" s="188">
        <v>0.5407543229455808</v>
      </c>
      <c r="M35" s="185">
        <v>404</v>
      </c>
      <c r="N35" s="185">
        <v>0.01619</v>
      </c>
      <c r="P35" s="186">
        <v>500</v>
      </c>
      <c r="Q35" s="185" t="e">
        <f t="shared" si="3"/>
        <v>#N/A</v>
      </c>
      <c r="T35" s="185">
        <v>414</v>
      </c>
      <c r="U35" s="185">
        <v>0.056106443142965264</v>
      </c>
      <c r="W35" s="186">
        <v>500</v>
      </c>
      <c r="X35" s="185" t="e">
        <f t="shared" si="12"/>
        <v>#N/A</v>
      </c>
      <c r="Z35" s="186">
        <v>500</v>
      </c>
      <c r="AA35" s="185">
        <f t="shared" si="4"/>
        <v>0.0036263469889723154</v>
      </c>
      <c r="AB35" s="185">
        <f t="shared" si="5"/>
        <v>0.0060461357317338725</v>
      </c>
      <c r="AC35" s="185">
        <f t="shared" si="6"/>
        <v>0.00934603607611547</v>
      </c>
      <c r="AD35" s="185">
        <f t="shared" si="7"/>
        <v>0.011017163132016585</v>
      </c>
      <c r="AE35" s="185">
        <f t="shared" si="8"/>
        <v>0.00090060218145331</v>
      </c>
      <c r="AF35" s="185">
        <f t="shared" si="9"/>
        <v>0.0030227415270953546</v>
      </c>
      <c r="AG35" s="185" t="e">
        <f t="shared" si="10"/>
        <v>#N/A</v>
      </c>
      <c r="AH35" s="185" t="e">
        <f t="shared" si="11"/>
        <v>#N/A</v>
      </c>
    </row>
    <row r="36" spans="2:34" ht="13.5">
      <c r="B36" s="186">
        <v>505</v>
      </c>
      <c r="C36" s="188">
        <v>0.0040442875330634976</v>
      </c>
      <c r="D36" s="188">
        <v>0.006500670298782303</v>
      </c>
      <c r="E36" s="188">
        <v>0.00955202928769878</v>
      </c>
      <c r="F36" s="188">
        <v>0.010519279034506567</v>
      </c>
      <c r="G36" s="188">
        <v>0.0005549810674208744</v>
      </c>
      <c r="H36" s="188">
        <v>0.4073</v>
      </c>
      <c r="J36" s="186">
        <v>505</v>
      </c>
      <c r="K36" s="188">
        <v>0.5533501092157367</v>
      </c>
      <c r="M36" s="185">
        <v>405</v>
      </c>
      <c r="N36" s="185">
        <v>0.01852</v>
      </c>
      <c r="P36" s="186">
        <v>505</v>
      </c>
      <c r="Q36" s="185" t="e">
        <f t="shared" si="3"/>
        <v>#N/A</v>
      </c>
      <c r="T36" s="185">
        <v>415</v>
      </c>
      <c r="U36" s="185">
        <v>0.06340545259553447</v>
      </c>
      <c r="W36" s="186">
        <v>505</v>
      </c>
      <c r="X36" s="185" t="e">
        <f t="shared" si="12"/>
        <v>#N/A</v>
      </c>
      <c r="Z36" s="186">
        <v>505</v>
      </c>
      <c r="AA36" s="185">
        <f t="shared" si="4"/>
        <v>0.0040442875330634976</v>
      </c>
      <c r="AB36" s="185">
        <f t="shared" si="5"/>
        <v>0.006500670298782301</v>
      </c>
      <c r="AC36" s="185">
        <f t="shared" si="6"/>
        <v>0.009552029287698783</v>
      </c>
      <c r="AD36" s="185">
        <f t="shared" si="7"/>
        <v>0.01051927903450656</v>
      </c>
      <c r="AE36" s="185">
        <f t="shared" si="8"/>
        <v>0.0005549810674208742</v>
      </c>
      <c r="AF36" s="185">
        <f t="shared" si="9"/>
        <v>0.0038116489906685385</v>
      </c>
      <c r="AG36" s="185" t="e">
        <f t="shared" si="10"/>
        <v>#N/A</v>
      </c>
      <c r="AH36" s="185" t="e">
        <f t="shared" si="11"/>
        <v>#N/A</v>
      </c>
    </row>
    <row r="37" spans="2:34" ht="13.5">
      <c r="B37" s="186">
        <v>510</v>
      </c>
      <c r="C37" s="188">
        <v>0.004474664826615902</v>
      </c>
      <c r="D37" s="188">
        <v>0.006939282002219854</v>
      </c>
      <c r="E37" s="188">
        <v>0.009664689984209622</v>
      </c>
      <c r="F37" s="188">
        <v>0.009841671557269376</v>
      </c>
      <c r="G37" s="188">
        <v>0.0003398552754900903</v>
      </c>
      <c r="H37" s="188">
        <v>0.503</v>
      </c>
      <c r="J37" s="186">
        <v>510</v>
      </c>
      <c r="K37" s="188">
        <v>0.5662392890382533</v>
      </c>
      <c r="M37" s="185">
        <v>406</v>
      </c>
      <c r="N37" s="185">
        <v>0.02113</v>
      </c>
      <c r="P37" s="186">
        <v>510</v>
      </c>
      <c r="Q37" s="185" t="e">
        <f t="shared" si="3"/>
        <v>#N/A</v>
      </c>
      <c r="T37" s="185">
        <v>416</v>
      </c>
      <c r="U37" s="185">
        <v>0.07138630335571136</v>
      </c>
      <c r="W37" s="186">
        <v>510</v>
      </c>
      <c r="X37" s="185" t="e">
        <f t="shared" si="12"/>
        <v>#N/A</v>
      </c>
      <c r="Z37" s="186">
        <v>510</v>
      </c>
      <c r="AA37" s="185">
        <f t="shared" si="4"/>
        <v>0.004474664826615902</v>
      </c>
      <c r="AB37" s="185">
        <f t="shared" si="5"/>
        <v>0.0069392820022198525</v>
      </c>
      <c r="AC37" s="185">
        <f t="shared" si="6"/>
        <v>0.009664689984209626</v>
      </c>
      <c r="AD37" s="185">
        <f t="shared" si="7"/>
        <v>0.00984167155726937</v>
      </c>
      <c r="AE37" s="185">
        <f t="shared" si="8"/>
        <v>0.0003398552754900901</v>
      </c>
      <c r="AF37" s="185">
        <f t="shared" si="9"/>
        <v>0.004707241449315676</v>
      </c>
      <c r="AG37" s="185" t="e">
        <f t="shared" si="10"/>
        <v>#N/A</v>
      </c>
      <c r="AH37" s="185" t="e">
        <f t="shared" si="11"/>
        <v>#N/A</v>
      </c>
    </row>
    <row r="38" spans="2:34" ht="13.5">
      <c r="B38" s="186">
        <v>515</v>
      </c>
      <c r="C38" s="188">
        <v>0.004878532397495158</v>
      </c>
      <c r="D38" s="188">
        <v>0.0073053351505034305</v>
      </c>
      <c r="E38" s="188">
        <v>0.00960247343743283</v>
      </c>
      <c r="F38" s="188">
        <v>0.008955981486307064</v>
      </c>
      <c r="G38" s="188">
        <v>0.0002063393276222003</v>
      </c>
      <c r="H38" s="188">
        <v>0.6082</v>
      </c>
      <c r="J38" s="186">
        <v>515</v>
      </c>
      <c r="K38" s="188">
        <v>0.5754399373371568</v>
      </c>
      <c r="M38" s="185">
        <v>407</v>
      </c>
      <c r="N38" s="185">
        <v>0.02405</v>
      </c>
      <c r="P38" s="186">
        <v>515</v>
      </c>
      <c r="Q38" s="185" t="e">
        <f t="shared" si="3"/>
        <v>#N/A</v>
      </c>
      <c r="T38" s="185">
        <v>417</v>
      </c>
      <c r="U38" s="185">
        <v>0.08003745348962728</v>
      </c>
      <c r="W38" s="186">
        <v>515</v>
      </c>
      <c r="X38" s="185" t="e">
        <f t="shared" si="12"/>
        <v>#N/A</v>
      </c>
      <c r="Z38" s="186">
        <v>515</v>
      </c>
      <c r="AA38" s="185">
        <f t="shared" si="4"/>
        <v>0.004878532397495158</v>
      </c>
      <c r="AB38" s="185">
        <f t="shared" si="5"/>
        <v>0.007305335150503429</v>
      </c>
      <c r="AC38" s="185">
        <f t="shared" si="6"/>
        <v>0.009602473437432833</v>
      </c>
      <c r="AD38" s="185">
        <f t="shared" si="7"/>
        <v>0.008955981486307059</v>
      </c>
      <c r="AE38" s="185">
        <f t="shared" si="8"/>
        <v>0.00020633932762220022</v>
      </c>
      <c r="AF38" s="185">
        <f t="shared" si="9"/>
        <v>0.005691738070524441</v>
      </c>
      <c r="AG38" s="185" t="e">
        <f t="shared" si="10"/>
        <v>#N/A</v>
      </c>
      <c r="AH38" s="185" t="e">
        <f t="shared" si="11"/>
        <v>#N/A</v>
      </c>
    </row>
    <row r="39" spans="2:34" ht="13.5">
      <c r="B39" s="186">
        <v>520</v>
      </c>
      <c r="C39" s="188">
        <v>0.005278892789903235</v>
      </c>
      <c r="D39" s="188">
        <v>0.007637921363272593</v>
      </c>
      <c r="E39" s="188">
        <v>0.009420626440185983</v>
      </c>
      <c r="F39" s="188">
        <v>0.007979608692932653</v>
      </c>
      <c r="G39" s="188">
        <v>0.00012548279385738177</v>
      </c>
      <c r="H39" s="188">
        <v>0.71</v>
      </c>
      <c r="J39" s="186">
        <v>520</v>
      </c>
      <c r="K39" s="188">
        <v>0.5847900841444806</v>
      </c>
      <c r="M39" s="185">
        <v>408</v>
      </c>
      <c r="N39" s="185">
        <v>0.0273</v>
      </c>
      <c r="P39" s="186">
        <v>520</v>
      </c>
      <c r="Q39" s="185" t="e">
        <f t="shared" si="3"/>
        <v>#N/A</v>
      </c>
      <c r="T39" s="185">
        <v>418</v>
      </c>
      <c r="U39" s="185">
        <v>0.0893095614174283</v>
      </c>
      <c r="W39" s="186">
        <v>520</v>
      </c>
      <c r="X39" s="185" t="e">
        <f t="shared" si="12"/>
        <v>#N/A</v>
      </c>
      <c r="Z39" s="186">
        <v>520</v>
      </c>
      <c r="AA39" s="185">
        <f t="shared" si="4"/>
        <v>0.005278892789903235</v>
      </c>
      <c r="AB39" s="185">
        <f t="shared" si="5"/>
        <v>0.0076379213632725915</v>
      </c>
      <c r="AC39" s="185">
        <f t="shared" si="6"/>
        <v>0.009420626440185986</v>
      </c>
      <c r="AD39" s="185">
        <f t="shared" si="7"/>
        <v>0.007979608692932648</v>
      </c>
      <c r="AE39" s="185">
        <f t="shared" si="8"/>
        <v>0.00012548279385738172</v>
      </c>
      <c r="AF39" s="185">
        <f t="shared" si="9"/>
        <v>0.006644416359869045</v>
      </c>
      <c r="AG39" s="185" t="e">
        <f t="shared" si="10"/>
        <v>#N/A</v>
      </c>
      <c r="AH39" s="185" t="e">
        <f t="shared" si="11"/>
        <v>#N/A</v>
      </c>
    </row>
    <row r="40" spans="2:34" ht="13.5">
      <c r="B40" s="186">
        <v>525</v>
      </c>
      <c r="C40" s="188">
        <v>0.005664487355845204</v>
      </c>
      <c r="D40" s="188">
        <v>0.007921265262672308</v>
      </c>
      <c r="E40" s="188">
        <v>0.009101751455522535</v>
      </c>
      <c r="F40" s="188">
        <v>0.006950764984441448</v>
      </c>
      <c r="G40" s="188">
        <v>7.652523502910793E-05</v>
      </c>
      <c r="H40" s="188">
        <v>0.7932</v>
      </c>
      <c r="J40" s="186">
        <v>525</v>
      </c>
      <c r="K40" s="188">
        <v>0.5936083481913703</v>
      </c>
      <c r="M40" s="185">
        <v>409</v>
      </c>
      <c r="N40" s="185">
        <v>0.03089</v>
      </c>
      <c r="P40" s="186">
        <v>525</v>
      </c>
      <c r="Q40" s="185" t="e">
        <f t="shared" si="3"/>
        <v>#N/A</v>
      </c>
      <c r="T40" s="185">
        <v>419</v>
      </c>
      <c r="U40" s="185">
        <v>0.09912331339824401</v>
      </c>
      <c r="W40" s="186">
        <v>525</v>
      </c>
      <c r="X40" s="185" t="e">
        <f t="shared" si="12"/>
        <v>#N/A</v>
      </c>
      <c r="Z40" s="186">
        <v>525</v>
      </c>
      <c r="AA40" s="185">
        <f t="shared" si="4"/>
        <v>0.005664487355845204</v>
      </c>
      <c r="AB40" s="185">
        <f t="shared" si="5"/>
        <v>0.007921265262672306</v>
      </c>
      <c r="AC40" s="185">
        <f t="shared" si="6"/>
        <v>0.009101751455522538</v>
      </c>
      <c r="AD40" s="185">
        <f t="shared" si="7"/>
        <v>0.006950764984441444</v>
      </c>
      <c r="AE40" s="185">
        <f t="shared" si="8"/>
        <v>7.652523502910789E-05</v>
      </c>
      <c r="AF40" s="185">
        <f t="shared" si="9"/>
        <v>0.007423029657250883</v>
      </c>
      <c r="AG40" s="185" t="e">
        <f t="shared" si="10"/>
        <v>#N/A</v>
      </c>
      <c r="AH40" s="185" t="e">
        <f t="shared" si="11"/>
        <v>#N/A</v>
      </c>
    </row>
    <row r="41" spans="2:34" ht="13.5">
      <c r="B41" s="186">
        <v>530</v>
      </c>
      <c r="C41" s="188">
        <v>0.00603648852697555</v>
      </c>
      <c r="D41" s="188">
        <v>0.008156398888436982</v>
      </c>
      <c r="E41" s="188">
        <v>0.008656583795612165</v>
      </c>
      <c r="F41" s="188">
        <v>0.005922976302625162</v>
      </c>
      <c r="G41" s="188">
        <v>4.692699224883891E-05</v>
      </c>
      <c r="H41" s="188">
        <v>0.862</v>
      </c>
      <c r="J41" s="186">
        <v>530</v>
      </c>
      <c r="K41" s="188">
        <v>0.6025595860743578</v>
      </c>
      <c r="M41" s="185">
        <v>410</v>
      </c>
      <c r="N41" s="185">
        <v>0.03484</v>
      </c>
      <c r="P41" s="186">
        <v>530</v>
      </c>
      <c r="Q41" s="185" t="e">
        <f t="shared" si="3"/>
        <v>#N/A</v>
      </c>
      <c r="T41" s="185">
        <v>420</v>
      </c>
      <c r="U41" s="185">
        <v>0.10935893302217099</v>
      </c>
      <c r="W41" s="186">
        <v>530</v>
      </c>
      <c r="X41" s="185" t="e">
        <f t="shared" si="12"/>
        <v>#N/A</v>
      </c>
      <c r="Z41" s="186">
        <v>530</v>
      </c>
      <c r="AA41" s="185">
        <f t="shared" si="4"/>
        <v>0.00603648852697555</v>
      </c>
      <c r="AB41" s="185">
        <f t="shared" si="5"/>
        <v>0.00815639888843698</v>
      </c>
      <c r="AC41" s="185">
        <f t="shared" si="6"/>
        <v>0.008656583795612169</v>
      </c>
      <c r="AD41" s="185">
        <f t="shared" si="7"/>
        <v>0.0059229763026251575</v>
      </c>
      <c r="AE41" s="185">
        <f t="shared" si="8"/>
        <v>4.692699224883889E-05</v>
      </c>
      <c r="AF41" s="185">
        <f t="shared" si="9"/>
        <v>0.008066882960855094</v>
      </c>
      <c r="AG41" s="185" t="e">
        <f t="shared" si="10"/>
        <v>#N/A</v>
      </c>
      <c r="AH41" s="185" t="e">
        <f t="shared" si="11"/>
        <v>#N/A</v>
      </c>
    </row>
    <row r="42" spans="2:34" ht="13.5">
      <c r="B42" s="186">
        <v>535</v>
      </c>
      <c r="C42" s="188">
        <v>0.006390587849417413</v>
      </c>
      <c r="D42" s="188">
        <v>0.008335009851461551</v>
      </c>
      <c r="E42" s="188">
        <v>0.008092445619751129</v>
      </c>
      <c r="F42" s="188">
        <v>0.0049332591914626805</v>
      </c>
      <c r="G42" s="188">
        <v>2.8965711367132516E-05</v>
      </c>
      <c r="H42" s="188">
        <v>0.9148501</v>
      </c>
      <c r="J42" s="186">
        <v>535</v>
      </c>
      <c r="K42" s="188">
        <v>0.6116458029546621</v>
      </c>
      <c r="M42" s="185">
        <v>411</v>
      </c>
      <c r="N42" s="185">
        <v>0.03916</v>
      </c>
      <c r="P42" s="186">
        <v>535</v>
      </c>
      <c r="Q42" s="185" t="e">
        <f t="shared" si="3"/>
        <v>#N/A</v>
      </c>
      <c r="T42" s="185">
        <v>421</v>
      </c>
      <c r="U42" s="185">
        <v>0.11990060270843013</v>
      </c>
      <c r="W42" s="186">
        <v>535</v>
      </c>
      <c r="X42" s="185" t="e">
        <f t="shared" si="12"/>
        <v>#N/A</v>
      </c>
      <c r="Z42" s="186">
        <v>535</v>
      </c>
      <c r="AA42" s="185">
        <f t="shared" si="4"/>
        <v>0.006390587849417413</v>
      </c>
      <c r="AB42" s="185">
        <f t="shared" si="5"/>
        <v>0.00833500985146155</v>
      </c>
      <c r="AC42" s="185">
        <f t="shared" si="6"/>
        <v>0.008092445619751133</v>
      </c>
      <c r="AD42" s="185">
        <f t="shared" si="7"/>
        <v>0.004933259191462677</v>
      </c>
      <c r="AE42" s="185">
        <f t="shared" si="8"/>
        <v>2.8965711367132502E-05</v>
      </c>
      <c r="AF42" s="185">
        <f t="shared" si="9"/>
        <v>0.008561471790518074</v>
      </c>
      <c r="AG42" s="185" t="e">
        <f t="shared" si="10"/>
        <v>#N/A</v>
      </c>
      <c r="AH42" s="185" t="e">
        <f t="shared" si="11"/>
        <v>#N/A</v>
      </c>
    </row>
    <row r="43" spans="2:34" ht="13.5">
      <c r="B43" s="186">
        <v>540</v>
      </c>
      <c r="C43" s="188">
        <v>0.006722435031944515</v>
      </c>
      <c r="D43" s="188">
        <v>0.008447990401730254</v>
      </c>
      <c r="E43" s="188">
        <v>0.007424689415846784</v>
      </c>
      <c r="F43" s="188">
        <v>0.004011397373309182</v>
      </c>
      <c r="G43" s="188">
        <v>1.800821762989024E-05</v>
      </c>
      <c r="H43" s="188">
        <v>0.954</v>
      </c>
      <c r="J43" s="186">
        <v>540</v>
      </c>
      <c r="K43" s="188">
        <v>0.6208690342300635</v>
      </c>
      <c r="M43" s="185">
        <v>412</v>
      </c>
      <c r="N43" s="185">
        <v>0.0439</v>
      </c>
      <c r="P43" s="186">
        <v>540</v>
      </c>
      <c r="Q43" s="185" t="e">
        <f aca="true" t="shared" si="13" ref="Q43:Q74">VLOOKUP($P43,$M$11:$N$93,2,0)</f>
        <v>#N/A</v>
      </c>
      <c r="T43" s="185">
        <v>422</v>
      </c>
      <c r="U43" s="185">
        <v>0.13076327077496802</v>
      </c>
      <c r="W43" s="186">
        <v>540</v>
      </c>
      <c r="X43" s="185" t="e">
        <f t="shared" si="12"/>
        <v>#N/A</v>
      </c>
      <c r="Z43" s="186">
        <v>540</v>
      </c>
      <c r="AA43" s="185">
        <f aca="true" t="shared" si="14" ref="AA43:AA74">C43/C$5</f>
        <v>0.006722435031944515</v>
      </c>
      <c r="AB43" s="185">
        <f aca="true" t="shared" si="15" ref="AB43:AB74">D43/D$5</f>
        <v>0.008447990401730252</v>
      </c>
      <c r="AC43" s="185">
        <f aca="true" t="shared" si="16" ref="AC43:AC74">E43/E$5</f>
        <v>0.0074246894158467875</v>
      </c>
      <c r="AD43" s="185">
        <f aca="true" t="shared" si="17" ref="AD43:AD74">F43/F$5</f>
        <v>0.0040113973733091795</v>
      </c>
      <c r="AE43" s="185">
        <f aca="true" t="shared" si="18" ref="AE43:AE74">G43/G$5</f>
        <v>1.8008217629890232E-05</v>
      </c>
      <c r="AF43" s="185">
        <f aca="true" t="shared" si="19" ref="AF43:AF74">H43/H$5</f>
        <v>0.008927849587767702</v>
      </c>
      <c r="AG43" s="185" t="e">
        <f aca="true" t="shared" si="20" ref="AG43:AG74">0.2*Q43/SUM($Q$11:$Q$91)</f>
        <v>#N/A</v>
      </c>
      <c r="AH43" s="185" t="e">
        <f t="shared" si="11"/>
        <v>#N/A</v>
      </c>
    </row>
    <row r="44" spans="2:34" ht="13.5">
      <c r="B44" s="186">
        <v>545</v>
      </c>
      <c r="C44" s="188">
        <v>0.007035525242804626</v>
      </c>
      <c r="D44" s="188">
        <v>0.008495626771322921</v>
      </c>
      <c r="E44" s="188">
        <v>0.00668349708151651</v>
      </c>
      <c r="F44" s="188">
        <v>0.003183676972073015</v>
      </c>
      <c r="G44" s="188">
        <v>1.1294051070481461E-05</v>
      </c>
      <c r="H44" s="188">
        <v>0.9803</v>
      </c>
      <c r="J44" s="186">
        <v>545</v>
      </c>
      <c r="K44" s="188">
        <v>0.6309573444801932</v>
      </c>
      <c r="M44" s="185">
        <v>413</v>
      </c>
      <c r="N44" s="185">
        <v>0.049</v>
      </c>
      <c r="P44" s="186">
        <v>545</v>
      </c>
      <c r="Q44" s="185" t="e">
        <f t="shared" si="13"/>
        <v>#N/A</v>
      </c>
      <c r="T44" s="185">
        <v>423</v>
      </c>
      <c r="U44" s="185">
        <v>0.1420289102142662</v>
      </c>
      <c r="W44" s="186">
        <v>545</v>
      </c>
      <c r="X44" s="185" t="e">
        <f t="shared" si="12"/>
        <v>#N/A</v>
      </c>
      <c r="Z44" s="186">
        <v>545</v>
      </c>
      <c r="AA44" s="185">
        <f t="shared" si="14"/>
        <v>0.007035525242804626</v>
      </c>
      <c r="AB44" s="185">
        <f t="shared" si="15"/>
        <v>0.00849562677132292</v>
      </c>
      <c r="AC44" s="185">
        <f t="shared" si="16"/>
        <v>0.006683497081516512</v>
      </c>
      <c r="AD44" s="185">
        <f t="shared" si="17"/>
        <v>0.0031836769720730127</v>
      </c>
      <c r="AE44" s="185">
        <f t="shared" si="18"/>
        <v>1.1294051070481456E-05</v>
      </c>
      <c r="AF44" s="185">
        <f t="shared" si="19"/>
        <v>0.009173973743069894</v>
      </c>
      <c r="AG44" s="185" t="e">
        <f t="shared" si="20"/>
        <v>#N/A</v>
      </c>
      <c r="AH44" s="185" t="e">
        <f t="shared" si="11"/>
        <v>#N/A</v>
      </c>
    </row>
    <row r="45" spans="2:34" ht="13.5">
      <c r="B45" s="186">
        <v>550</v>
      </c>
      <c r="C45" s="188">
        <v>0.0073173458844395245</v>
      </c>
      <c r="D45" s="188">
        <v>0.008458928053428589</v>
      </c>
      <c r="E45" s="188">
        <v>0.00588709137689484</v>
      </c>
      <c r="F45" s="188">
        <v>0.0024604205001022483</v>
      </c>
      <c r="G45" s="188">
        <v>7.138548997440456E-06</v>
      </c>
      <c r="H45" s="188">
        <v>0.9949501</v>
      </c>
      <c r="J45" s="186">
        <v>550</v>
      </c>
      <c r="K45" s="188">
        <v>0.6412095765851616</v>
      </c>
      <c r="M45" s="185">
        <v>414</v>
      </c>
      <c r="N45" s="185">
        <v>0.0545</v>
      </c>
      <c r="P45" s="186">
        <v>550</v>
      </c>
      <c r="Q45" s="185" t="e">
        <f t="shared" si="13"/>
        <v>#N/A</v>
      </c>
      <c r="T45" s="185">
        <v>424</v>
      </c>
      <c r="U45" s="185">
        <v>0.15383110725575777</v>
      </c>
      <c r="W45" s="186">
        <v>550</v>
      </c>
      <c r="X45" s="185" t="e">
        <f aca="true" t="shared" si="21" ref="X45:X67">VLOOKUP($W45,$T$11:$U$93,2,0)</f>
        <v>#N/A</v>
      </c>
      <c r="Z45" s="186">
        <v>550</v>
      </c>
      <c r="AA45" s="185">
        <f t="shared" si="14"/>
        <v>0.0073173458844395245</v>
      </c>
      <c r="AB45" s="185">
        <f t="shared" si="15"/>
        <v>0.008458928053428587</v>
      </c>
      <c r="AC45" s="185">
        <f t="shared" si="16"/>
        <v>0.005887091376894842</v>
      </c>
      <c r="AD45" s="185">
        <f t="shared" si="17"/>
        <v>0.0024604205001022466</v>
      </c>
      <c r="AE45" s="185">
        <f t="shared" si="18"/>
        <v>7.138548997440453E-06</v>
      </c>
      <c r="AF45" s="185">
        <f t="shared" si="19"/>
        <v>0.009311074255906117</v>
      </c>
      <c r="AG45" s="185" t="e">
        <f t="shared" si="20"/>
        <v>#N/A</v>
      </c>
      <c r="AH45" s="185" t="e">
        <f t="shared" si="11"/>
        <v>#N/A</v>
      </c>
    </row>
    <row r="46" spans="2:34" ht="13.5">
      <c r="B46" s="186">
        <v>555</v>
      </c>
      <c r="C46" s="188">
        <v>0.007553382960415446</v>
      </c>
      <c r="D46" s="188">
        <v>0.00832032579129356</v>
      </c>
      <c r="E46" s="188">
        <v>0.005060279859348121</v>
      </c>
      <c r="F46" s="188">
        <v>0.0018483286694859307</v>
      </c>
      <c r="G46" s="188">
        <v>4.5424071357547395E-06</v>
      </c>
      <c r="H46" s="188">
        <v>1</v>
      </c>
      <c r="J46" s="186">
        <v>555</v>
      </c>
      <c r="K46" s="188">
        <v>0.6508786108404094</v>
      </c>
      <c r="M46" s="185">
        <v>415</v>
      </c>
      <c r="N46" s="185">
        <v>0.0604</v>
      </c>
      <c r="P46" s="186">
        <v>555</v>
      </c>
      <c r="Q46" s="185" t="e">
        <f t="shared" si="13"/>
        <v>#N/A</v>
      </c>
      <c r="T46" s="185">
        <v>425</v>
      </c>
      <c r="U46" s="185">
        <v>0.1663483337045228</v>
      </c>
      <c r="W46" s="186">
        <v>555</v>
      </c>
      <c r="X46" s="185" t="e">
        <f t="shared" si="21"/>
        <v>#N/A</v>
      </c>
      <c r="Z46" s="186">
        <v>555</v>
      </c>
      <c r="AA46" s="185">
        <f t="shared" si="14"/>
        <v>0.007553382960415446</v>
      </c>
      <c r="AB46" s="185">
        <f t="shared" si="15"/>
        <v>0.008320325791293558</v>
      </c>
      <c r="AC46" s="185">
        <f t="shared" si="16"/>
        <v>0.005060279859348124</v>
      </c>
      <c r="AD46" s="185">
        <f t="shared" si="17"/>
        <v>0.0018483286694859294</v>
      </c>
      <c r="AE46" s="185">
        <f t="shared" si="18"/>
        <v>4.542407135754738E-06</v>
      </c>
      <c r="AF46" s="185">
        <f t="shared" si="19"/>
        <v>0.009358332901224007</v>
      </c>
      <c r="AG46" s="185" t="e">
        <f t="shared" si="20"/>
        <v>#N/A</v>
      </c>
      <c r="AH46" s="185" t="e">
        <f t="shared" si="11"/>
        <v>#N/A</v>
      </c>
    </row>
    <row r="47" spans="2:34" ht="13.5">
      <c r="B47" s="186">
        <v>560</v>
      </c>
      <c r="C47" s="188">
        <v>0.007745316105041944</v>
      </c>
      <c r="D47" s="188">
        <v>0.008084698202183903</v>
      </c>
      <c r="E47" s="188">
        <v>0.004242270377316429</v>
      </c>
      <c r="F47" s="188">
        <v>0.0013518441811434835</v>
      </c>
      <c r="G47" s="188">
        <v>2.91323861816917E-06</v>
      </c>
      <c r="H47" s="188">
        <v>0.995</v>
      </c>
      <c r="J47" s="186">
        <v>560</v>
      </c>
      <c r="K47" s="188">
        <v>0.660693448007596</v>
      </c>
      <c r="M47" s="185">
        <v>416</v>
      </c>
      <c r="N47" s="185">
        <v>0.0668</v>
      </c>
      <c r="P47" s="186">
        <v>560</v>
      </c>
      <c r="Q47" s="185" t="e">
        <f t="shared" si="13"/>
        <v>#N/A</v>
      </c>
      <c r="T47" s="185">
        <v>426</v>
      </c>
      <c r="U47" s="185">
        <v>0.17976727612543728</v>
      </c>
      <c r="W47" s="186">
        <v>560</v>
      </c>
      <c r="X47" s="185" t="e">
        <f t="shared" si="21"/>
        <v>#N/A</v>
      </c>
      <c r="Z47" s="186">
        <v>560</v>
      </c>
      <c r="AA47" s="185">
        <f t="shared" si="14"/>
        <v>0.007745316105041944</v>
      </c>
      <c r="AB47" s="185">
        <f t="shared" si="15"/>
        <v>0.008084698202183901</v>
      </c>
      <c r="AC47" s="185">
        <f t="shared" si="16"/>
        <v>0.004242270377316431</v>
      </c>
      <c r="AD47" s="185">
        <f t="shared" si="17"/>
        <v>0.0013518441811434826</v>
      </c>
      <c r="AE47" s="185">
        <f t="shared" si="18"/>
        <v>2.9132386181691686E-06</v>
      </c>
      <c r="AF47" s="185">
        <f t="shared" si="19"/>
        <v>0.009311541236717888</v>
      </c>
      <c r="AG47" s="185" t="e">
        <f t="shared" si="20"/>
        <v>#N/A</v>
      </c>
      <c r="AH47" s="185" t="e">
        <f t="shared" si="11"/>
        <v>#N/A</v>
      </c>
    </row>
    <row r="48" spans="2:34" ht="13.5">
      <c r="B48" s="186">
        <v>565</v>
      </c>
      <c r="C48" s="188">
        <v>0.007867875001600588</v>
      </c>
      <c r="D48" s="188">
        <v>0.007733398202551233</v>
      </c>
      <c r="E48" s="188">
        <v>0.003455213581711731</v>
      </c>
      <c r="F48" s="188">
        <v>0.0009620052236497201</v>
      </c>
      <c r="G48" s="188">
        <v>1.8786811028598212E-06</v>
      </c>
      <c r="H48" s="188">
        <v>0.9786</v>
      </c>
      <c r="J48" s="186">
        <v>565</v>
      </c>
      <c r="K48" s="188">
        <v>0.6691138200458593</v>
      </c>
      <c r="M48" s="185">
        <v>417</v>
      </c>
      <c r="N48" s="185">
        <v>0.0736</v>
      </c>
      <c r="P48" s="186">
        <v>565</v>
      </c>
      <c r="Q48" s="185" t="e">
        <f t="shared" si="13"/>
        <v>#N/A</v>
      </c>
      <c r="T48" s="185">
        <v>427</v>
      </c>
      <c r="U48" s="185">
        <v>0.19404939151314884</v>
      </c>
      <c r="W48" s="186">
        <v>565</v>
      </c>
      <c r="X48" s="185" t="e">
        <f t="shared" si="21"/>
        <v>#N/A</v>
      </c>
      <c r="Z48" s="186">
        <v>565</v>
      </c>
      <c r="AA48" s="185">
        <f t="shared" si="14"/>
        <v>0.007867875001600588</v>
      </c>
      <c r="AB48" s="185">
        <f t="shared" si="15"/>
        <v>0.007733398202551232</v>
      </c>
      <c r="AC48" s="185">
        <f t="shared" si="16"/>
        <v>0.0034552135817117326</v>
      </c>
      <c r="AD48" s="185">
        <f t="shared" si="17"/>
        <v>0.0009620052236497194</v>
      </c>
      <c r="AE48" s="185">
        <f t="shared" si="18"/>
        <v>1.8786811028598204E-06</v>
      </c>
      <c r="AF48" s="185">
        <f t="shared" si="19"/>
        <v>0.009158064577137814</v>
      </c>
      <c r="AG48" s="185" t="e">
        <f t="shared" si="20"/>
        <v>#N/A</v>
      </c>
      <c r="AH48" s="185" t="e">
        <f t="shared" si="11"/>
        <v>#N/A</v>
      </c>
    </row>
    <row r="49" spans="2:34" ht="13.5">
      <c r="B49" s="186">
        <v>570</v>
      </c>
      <c r="C49" s="188">
        <v>0.00793121156220525</v>
      </c>
      <c r="D49" s="188">
        <v>0.007290508903470151</v>
      </c>
      <c r="E49" s="188">
        <v>0.0027368951368736292</v>
      </c>
      <c r="F49" s="188">
        <v>0.0006695174324025972</v>
      </c>
      <c r="G49" s="188">
        <v>1.2208817099716195E-06</v>
      </c>
      <c r="H49" s="188">
        <v>0.952</v>
      </c>
      <c r="J49" s="186">
        <v>570</v>
      </c>
      <c r="K49" s="188">
        <v>0.6776415076106751</v>
      </c>
      <c r="M49" s="185">
        <v>418</v>
      </c>
      <c r="N49" s="185">
        <v>0.0808</v>
      </c>
      <c r="P49" s="186">
        <v>570</v>
      </c>
      <c r="Q49" s="185" t="e">
        <f t="shared" si="13"/>
        <v>#N/A</v>
      </c>
      <c r="T49" s="185">
        <v>428</v>
      </c>
      <c r="U49" s="185">
        <v>0.20907182092808468</v>
      </c>
      <c r="W49" s="186">
        <v>570</v>
      </c>
      <c r="X49" s="185" t="e">
        <f t="shared" si="21"/>
        <v>#N/A</v>
      </c>
      <c r="Z49" s="186">
        <v>570</v>
      </c>
      <c r="AA49" s="185">
        <f t="shared" si="14"/>
        <v>0.00793121156220525</v>
      </c>
      <c r="AB49" s="185">
        <f t="shared" si="15"/>
        <v>0.00729050890347015</v>
      </c>
      <c r="AC49" s="185">
        <f t="shared" si="16"/>
        <v>0.0027368951368736305</v>
      </c>
      <c r="AD49" s="185">
        <f t="shared" si="17"/>
        <v>0.0006695174324025968</v>
      </c>
      <c r="AE49" s="185">
        <f t="shared" si="18"/>
        <v>1.2208817099716189E-06</v>
      </c>
      <c r="AF49" s="185">
        <f t="shared" si="19"/>
        <v>0.008909132921965254</v>
      </c>
      <c r="AG49" s="185" t="e">
        <f t="shared" si="20"/>
        <v>#N/A</v>
      </c>
      <c r="AH49" s="185" t="e">
        <f t="shared" si="11"/>
        <v>#N/A</v>
      </c>
    </row>
    <row r="50" spans="2:34" ht="13.5">
      <c r="B50" s="186">
        <v>575</v>
      </c>
      <c r="C50" s="188">
        <v>0.007909789424487178</v>
      </c>
      <c r="D50" s="188">
        <v>0.006750708806974213</v>
      </c>
      <c r="E50" s="188">
        <v>0.0021023874964508733</v>
      </c>
      <c r="F50" s="188">
        <v>0.00045632150188890986</v>
      </c>
      <c r="G50" s="188">
        <v>7.975964541321849E-07</v>
      </c>
      <c r="H50" s="188">
        <v>0.9154</v>
      </c>
      <c r="J50" s="186">
        <v>575</v>
      </c>
      <c r="K50" s="188">
        <v>0.6846994830911334</v>
      </c>
      <c r="M50" s="185">
        <v>419</v>
      </c>
      <c r="N50" s="185">
        <v>0.0885</v>
      </c>
      <c r="P50" s="186">
        <v>575</v>
      </c>
      <c r="Q50" s="185" t="e">
        <f t="shared" si="13"/>
        <v>#N/A</v>
      </c>
      <c r="T50" s="185">
        <v>429</v>
      </c>
      <c r="U50" s="185">
        <v>0.22466369985722257</v>
      </c>
      <c r="W50" s="186">
        <v>575</v>
      </c>
      <c r="X50" s="185" t="e">
        <f t="shared" si="21"/>
        <v>#N/A</v>
      </c>
      <c r="Z50" s="186">
        <v>575</v>
      </c>
      <c r="AA50" s="185">
        <f t="shared" si="14"/>
        <v>0.007909789424487178</v>
      </c>
      <c r="AB50" s="185">
        <f t="shared" si="15"/>
        <v>0.006750708806974212</v>
      </c>
      <c r="AC50" s="185">
        <f t="shared" si="16"/>
        <v>0.002102387496450874</v>
      </c>
      <c r="AD50" s="185">
        <f t="shared" si="17"/>
        <v>0.00045632150188890954</v>
      </c>
      <c r="AE50" s="185">
        <f t="shared" si="18"/>
        <v>7.975964541321846E-07</v>
      </c>
      <c r="AF50" s="185">
        <f t="shared" si="19"/>
        <v>0.008566617937780456</v>
      </c>
      <c r="AG50" s="185" t="e">
        <f t="shared" si="20"/>
        <v>#N/A</v>
      </c>
      <c r="AH50" s="185" t="e">
        <f t="shared" si="11"/>
        <v>#N/A</v>
      </c>
    </row>
    <row r="51" spans="2:34" ht="13.5">
      <c r="B51" s="186">
        <v>580</v>
      </c>
      <c r="C51" s="188">
        <v>0.00781553634209943</v>
      </c>
      <c r="D51" s="188">
        <v>0.006147387529340265</v>
      </c>
      <c r="E51" s="188">
        <v>0.0015705758483883906</v>
      </c>
      <c r="F51" s="188">
        <v>0.00030651985028135574</v>
      </c>
      <c r="G51" s="188">
        <v>5.249531984429197E-07</v>
      </c>
      <c r="H51" s="188">
        <v>0.87</v>
      </c>
      <c r="J51" s="186">
        <v>580</v>
      </c>
      <c r="K51" s="188">
        <v>0.6918309709189365</v>
      </c>
      <c r="M51" s="185">
        <v>420</v>
      </c>
      <c r="N51" s="185">
        <v>0.0966</v>
      </c>
      <c r="P51" s="186">
        <v>580</v>
      </c>
      <c r="Q51" s="185" t="e">
        <f t="shared" si="13"/>
        <v>#N/A</v>
      </c>
      <c r="T51" s="185">
        <v>430</v>
      </c>
      <c r="U51" s="185">
        <v>0.2405844823331828</v>
      </c>
      <c r="W51" s="186">
        <v>580</v>
      </c>
      <c r="X51" s="185" t="e">
        <f t="shared" si="21"/>
        <v>#N/A</v>
      </c>
      <c r="Z51" s="186">
        <v>580</v>
      </c>
      <c r="AA51" s="185">
        <f t="shared" si="14"/>
        <v>0.00781553634209943</v>
      </c>
      <c r="AB51" s="185">
        <f t="shared" si="15"/>
        <v>0.006147387529340263</v>
      </c>
      <c r="AC51" s="185">
        <f t="shared" si="16"/>
        <v>0.0015705758483883913</v>
      </c>
      <c r="AD51" s="185">
        <f t="shared" si="17"/>
        <v>0.0003065198502813555</v>
      </c>
      <c r="AE51" s="185">
        <f t="shared" si="18"/>
        <v>5.249531984429195E-07</v>
      </c>
      <c r="AF51" s="185">
        <f t="shared" si="19"/>
        <v>0.008141749624064887</v>
      </c>
      <c r="AG51" s="185" t="e">
        <f t="shared" si="20"/>
        <v>#N/A</v>
      </c>
      <c r="AH51" s="185" t="e">
        <f t="shared" si="11"/>
        <v>#N/A</v>
      </c>
    </row>
    <row r="52" spans="2:34" ht="13.5">
      <c r="B52" s="186">
        <v>585</v>
      </c>
      <c r="C52" s="188">
        <v>0.007643749269198824</v>
      </c>
      <c r="D52" s="188">
        <v>0.005499612091963393</v>
      </c>
      <c r="E52" s="188">
        <v>0.0011429905318518028</v>
      </c>
      <c r="F52" s="188">
        <v>0.0002037301619892574</v>
      </c>
      <c r="G52" s="188">
        <v>3.480327624409043E-07</v>
      </c>
      <c r="H52" s="188">
        <v>0.8163</v>
      </c>
      <c r="J52" s="186">
        <v>585</v>
      </c>
      <c r="K52" s="188">
        <v>0.6990367367619771</v>
      </c>
      <c r="M52" s="185">
        <v>421</v>
      </c>
      <c r="N52" s="185">
        <v>0.1052</v>
      </c>
      <c r="P52" s="186">
        <v>585</v>
      </c>
      <c r="Q52" s="185" t="e">
        <f t="shared" si="13"/>
        <v>#N/A</v>
      </c>
      <c r="T52" s="185">
        <v>431</v>
      </c>
      <c r="U52" s="185">
        <v>0.25662159456669104</v>
      </c>
      <c r="W52" s="186">
        <v>585</v>
      </c>
      <c r="X52" s="185" t="e">
        <f t="shared" si="21"/>
        <v>#N/A</v>
      </c>
      <c r="Z52" s="186">
        <v>585</v>
      </c>
      <c r="AA52" s="185">
        <f t="shared" si="14"/>
        <v>0.007643749269198824</v>
      </c>
      <c r="AB52" s="185">
        <f t="shared" si="15"/>
        <v>0.005499612091963392</v>
      </c>
      <c r="AC52" s="185">
        <f t="shared" si="16"/>
        <v>0.0011429905318518032</v>
      </c>
      <c r="AD52" s="185">
        <f t="shared" si="17"/>
        <v>0.00020373016198925727</v>
      </c>
      <c r="AE52" s="185">
        <f t="shared" si="18"/>
        <v>3.4803276244090414E-07</v>
      </c>
      <c r="AF52" s="185">
        <f t="shared" si="19"/>
        <v>0.007639207147269158</v>
      </c>
      <c r="AG52" s="185" t="e">
        <f t="shared" si="20"/>
        <v>#N/A</v>
      </c>
      <c r="AH52" s="185" t="e">
        <f t="shared" si="11"/>
        <v>#N/A</v>
      </c>
    </row>
    <row r="53" spans="2:34" ht="13.5">
      <c r="B53" s="186">
        <v>590</v>
      </c>
      <c r="C53" s="188">
        <v>0.007392169285417924</v>
      </c>
      <c r="D53" s="188">
        <v>0.004828413044496769</v>
      </c>
      <c r="E53" s="188">
        <v>0.0008126368064338932</v>
      </c>
      <c r="F53" s="188">
        <v>0.00013447246890295</v>
      </c>
      <c r="G53" s="188">
        <v>2.3238814038983758E-07</v>
      </c>
      <c r="H53" s="188">
        <v>0.757</v>
      </c>
      <c r="J53" s="186">
        <v>590</v>
      </c>
      <c r="K53" s="188">
        <v>0.7063175542629619</v>
      </c>
      <c r="M53" s="185">
        <v>422</v>
      </c>
      <c r="N53" s="185">
        <v>0.1141</v>
      </c>
      <c r="P53" s="186">
        <v>590</v>
      </c>
      <c r="Q53" s="185" t="e">
        <f t="shared" si="13"/>
        <v>#N/A</v>
      </c>
      <c r="T53" s="185">
        <v>432</v>
      </c>
      <c r="U53" s="185">
        <v>0.27279957977318386</v>
      </c>
      <c r="W53" s="186">
        <v>590</v>
      </c>
      <c r="X53" s="185" t="e">
        <f t="shared" si="21"/>
        <v>#N/A</v>
      </c>
      <c r="Z53" s="186">
        <v>590</v>
      </c>
      <c r="AA53" s="185">
        <f t="shared" si="14"/>
        <v>0.007392169285417924</v>
      </c>
      <c r="AB53" s="185">
        <f t="shared" si="15"/>
        <v>0.004828413044496768</v>
      </c>
      <c r="AC53" s="185">
        <f t="shared" si="16"/>
        <v>0.0008126368064338936</v>
      </c>
      <c r="AD53" s="185">
        <f t="shared" si="17"/>
        <v>0.00013447246890294993</v>
      </c>
      <c r="AE53" s="185">
        <f t="shared" si="18"/>
        <v>2.3238814038983747E-07</v>
      </c>
      <c r="AF53" s="185">
        <f t="shared" si="19"/>
        <v>0.007084258006226574</v>
      </c>
      <c r="AG53" s="185" t="e">
        <f t="shared" si="20"/>
        <v>#N/A</v>
      </c>
      <c r="AH53" s="185" t="e">
        <f t="shared" si="11"/>
        <v>#N/A</v>
      </c>
    </row>
    <row r="54" spans="2:34" ht="13.5">
      <c r="B54" s="186">
        <v>595</v>
      </c>
      <c r="C54" s="188">
        <v>0.007045597166342762</v>
      </c>
      <c r="D54" s="188">
        <v>0.004145721924191296</v>
      </c>
      <c r="E54" s="188">
        <v>0.0005651998878068766</v>
      </c>
      <c r="F54" s="188">
        <v>8.821351954596406E-05</v>
      </c>
      <c r="G54" s="188">
        <v>1.5589536875232529E-07</v>
      </c>
      <c r="H54" s="188">
        <v>0.6949</v>
      </c>
      <c r="J54" s="186">
        <v>595</v>
      </c>
      <c r="K54" s="188">
        <v>0.7120327999992025</v>
      </c>
      <c r="M54" s="185">
        <v>423</v>
      </c>
      <c r="N54" s="185">
        <v>0.1235</v>
      </c>
      <c r="P54" s="186">
        <v>595</v>
      </c>
      <c r="Q54" s="185" t="e">
        <f t="shared" si="13"/>
        <v>#N/A</v>
      </c>
      <c r="T54" s="185">
        <v>433</v>
      </c>
      <c r="U54" s="185">
        <v>0.28925012597024474</v>
      </c>
      <c r="W54" s="186">
        <v>595</v>
      </c>
      <c r="X54" s="185" t="e">
        <f t="shared" si="21"/>
        <v>#N/A</v>
      </c>
      <c r="Z54" s="186">
        <v>595</v>
      </c>
      <c r="AA54" s="185">
        <f t="shared" si="14"/>
        <v>0.007045597166342762</v>
      </c>
      <c r="AB54" s="185">
        <f t="shared" si="15"/>
        <v>0.004145721924191295</v>
      </c>
      <c r="AC54" s="185">
        <f t="shared" si="16"/>
        <v>0.0005651998878068768</v>
      </c>
      <c r="AD54" s="185">
        <f t="shared" si="17"/>
        <v>8.821351954596401E-05</v>
      </c>
      <c r="AE54" s="185">
        <f t="shared" si="18"/>
        <v>1.558953687523252E-07</v>
      </c>
      <c r="AF54" s="185">
        <f t="shared" si="19"/>
        <v>0.006503105533060563</v>
      </c>
      <c r="AG54" s="185" t="e">
        <f t="shared" si="20"/>
        <v>#N/A</v>
      </c>
      <c r="AH54" s="185" t="e">
        <f t="shared" si="11"/>
        <v>#N/A</v>
      </c>
    </row>
    <row r="55" spans="2:34" ht="13.5">
      <c r="B55" s="186">
        <v>600</v>
      </c>
      <c r="C55" s="188">
        <v>0.006627074213215513</v>
      </c>
      <c r="D55" s="188">
        <v>0.0034848099187385698</v>
      </c>
      <c r="E55" s="188">
        <v>0.0003869933339081818</v>
      </c>
      <c r="F55" s="188">
        <v>5.779012503084281E-05</v>
      </c>
      <c r="G55" s="188">
        <v>1.0529528969116427E-07</v>
      </c>
      <c r="H55" s="188">
        <v>0.631</v>
      </c>
      <c r="J55" s="186">
        <v>600</v>
      </c>
      <c r="K55" s="188">
        <v>0.7177942912713617</v>
      </c>
      <c r="M55" s="185">
        <v>424</v>
      </c>
      <c r="N55" s="185">
        <v>0.1334</v>
      </c>
      <c r="P55" s="186">
        <v>600</v>
      </c>
      <c r="Q55" s="185" t="e">
        <f t="shared" si="13"/>
        <v>#N/A</v>
      </c>
      <c r="T55" s="185">
        <v>434</v>
      </c>
      <c r="U55" s="185">
        <v>0.3061523723301202</v>
      </c>
      <c r="W55" s="186">
        <v>600</v>
      </c>
      <c r="X55" s="185" t="e">
        <f t="shared" si="21"/>
        <v>#N/A</v>
      </c>
      <c r="Z55" s="186">
        <v>600</v>
      </c>
      <c r="AA55" s="185">
        <f t="shared" si="14"/>
        <v>0.006627074213215513</v>
      </c>
      <c r="AB55" s="185">
        <f t="shared" si="15"/>
        <v>0.003484809918738569</v>
      </c>
      <c r="AC55" s="185">
        <f t="shared" si="16"/>
        <v>0.00038699333390818195</v>
      </c>
      <c r="AD55" s="185">
        <f t="shared" si="17"/>
        <v>5.779012503084277E-05</v>
      </c>
      <c r="AE55" s="185">
        <f t="shared" si="18"/>
        <v>1.0529528969116421E-07</v>
      </c>
      <c r="AF55" s="185">
        <f t="shared" si="19"/>
        <v>0.005905108060672349</v>
      </c>
      <c r="AG55" s="185" t="e">
        <f t="shared" si="20"/>
        <v>#N/A</v>
      </c>
      <c r="AH55" s="185" t="e">
        <f t="shared" si="11"/>
        <v>#N/A</v>
      </c>
    </row>
    <row r="56" spans="2:34" ht="13.5">
      <c r="B56" s="186">
        <v>605</v>
      </c>
      <c r="C56" s="188">
        <v>0.006138822000554518</v>
      </c>
      <c r="D56" s="188">
        <v>0.002860955043774426</v>
      </c>
      <c r="E56" s="188">
        <v>0.0002615949525962005</v>
      </c>
      <c r="F56" s="188">
        <v>3.783961019158482E-05</v>
      </c>
      <c r="G56" s="188">
        <v>7.151098496093774E-08</v>
      </c>
      <c r="H56" s="188">
        <v>0.5668</v>
      </c>
      <c r="J56" s="186">
        <v>605</v>
      </c>
      <c r="K56" s="188">
        <v>0.7227698036021702</v>
      </c>
      <c r="M56" s="185">
        <v>425</v>
      </c>
      <c r="N56" s="185">
        <v>0.1436</v>
      </c>
      <c r="P56" s="186">
        <v>605</v>
      </c>
      <c r="Q56" s="185" t="e">
        <f t="shared" si="13"/>
        <v>#N/A</v>
      </c>
      <c r="T56" s="185">
        <v>435</v>
      </c>
      <c r="U56" s="185">
        <v>0.323736106643665</v>
      </c>
      <c r="W56" s="186">
        <v>605</v>
      </c>
      <c r="X56" s="185" t="e">
        <f t="shared" si="21"/>
        <v>#N/A</v>
      </c>
      <c r="Z56" s="186">
        <v>605</v>
      </c>
      <c r="AA56" s="185">
        <f t="shared" si="14"/>
        <v>0.006138822000554518</v>
      </c>
      <c r="AB56" s="185">
        <f t="shared" si="15"/>
        <v>0.0028609550437744256</v>
      </c>
      <c r="AC56" s="185">
        <f t="shared" si="16"/>
        <v>0.0002615949525962006</v>
      </c>
      <c r="AD56" s="185">
        <f t="shared" si="17"/>
        <v>3.7839610191584795E-05</v>
      </c>
      <c r="AE56" s="185">
        <f t="shared" si="18"/>
        <v>7.151098496093771E-08</v>
      </c>
      <c r="AF56" s="185">
        <f t="shared" si="19"/>
        <v>0.005304303088413767</v>
      </c>
      <c r="AG56" s="185" t="e">
        <f t="shared" si="20"/>
        <v>#N/A</v>
      </c>
      <c r="AH56" s="185" t="e">
        <f t="shared" si="11"/>
        <v>#N/A</v>
      </c>
    </row>
    <row r="57" spans="2:34" ht="13.5">
      <c r="B57" s="186">
        <v>610</v>
      </c>
      <c r="C57" s="188">
        <v>0.0056018135346439036</v>
      </c>
      <c r="D57" s="188">
        <v>0.0022943473299560676</v>
      </c>
      <c r="E57" s="188">
        <v>0.00017541301602624887</v>
      </c>
      <c r="F57" s="188">
        <v>2.4829504304907796E-05</v>
      </c>
      <c r="G57" s="188">
        <v>4.8882932141371645E-08</v>
      </c>
      <c r="H57" s="188">
        <v>0.503</v>
      </c>
      <c r="J57" s="186">
        <v>610</v>
      </c>
      <c r="K57" s="188">
        <v>0.727779804536824</v>
      </c>
      <c r="M57" s="185">
        <v>426</v>
      </c>
      <c r="N57" s="185">
        <v>0.1541</v>
      </c>
      <c r="P57" s="186">
        <v>610</v>
      </c>
      <c r="Q57" s="185" t="e">
        <f t="shared" si="13"/>
        <v>#N/A</v>
      </c>
      <c r="T57" s="185">
        <v>436</v>
      </c>
      <c r="U57" s="185">
        <v>0.34219973150387417</v>
      </c>
      <c r="W57" s="186">
        <v>610</v>
      </c>
      <c r="X57" s="185" t="e">
        <f t="shared" si="21"/>
        <v>#N/A</v>
      </c>
      <c r="Z57" s="186">
        <v>610</v>
      </c>
      <c r="AA57" s="185">
        <f t="shared" si="14"/>
        <v>0.0056018135346439036</v>
      </c>
      <c r="AB57" s="185">
        <f t="shared" si="15"/>
        <v>0.002294347329956067</v>
      </c>
      <c r="AC57" s="185">
        <f t="shared" si="16"/>
        <v>0.00017541301602624895</v>
      </c>
      <c r="AD57" s="185">
        <f t="shared" si="17"/>
        <v>2.482950430490778E-05</v>
      </c>
      <c r="AE57" s="185">
        <f t="shared" si="18"/>
        <v>4.8882932141371625E-08</v>
      </c>
      <c r="AF57" s="185">
        <f t="shared" si="19"/>
        <v>0.004707241449315676</v>
      </c>
      <c r="AG57" s="185" t="e">
        <f t="shared" si="20"/>
        <v>#N/A</v>
      </c>
      <c r="AH57" s="185" t="e">
        <f t="shared" si="11"/>
        <v>#N/A</v>
      </c>
    </row>
    <row r="58" spans="2:34" ht="13.5">
      <c r="B58" s="186">
        <v>615</v>
      </c>
      <c r="C58" s="188">
        <v>0.005031294057358478</v>
      </c>
      <c r="D58" s="188">
        <v>0.0017963463927266905</v>
      </c>
      <c r="E58" s="188">
        <v>0.00011704796020515038</v>
      </c>
      <c r="F58" s="188">
        <v>1.6345718995184476E-05</v>
      </c>
      <c r="G58" s="188">
        <v>3.362762990853429E-08</v>
      </c>
      <c r="H58" s="188">
        <v>0.4412</v>
      </c>
      <c r="J58" s="186">
        <v>615</v>
      </c>
      <c r="K58" s="188">
        <v>0.732824533138904</v>
      </c>
      <c r="M58" s="185">
        <v>427</v>
      </c>
      <c r="N58" s="185">
        <v>0.1651</v>
      </c>
      <c r="P58" s="186">
        <v>615</v>
      </c>
      <c r="Q58" s="185" t="e">
        <f t="shared" si="13"/>
        <v>#N/A</v>
      </c>
      <c r="T58" s="185">
        <v>437</v>
      </c>
      <c r="U58" s="185">
        <v>0.3613758347510998</v>
      </c>
      <c r="W58" s="186">
        <v>615</v>
      </c>
      <c r="X58" s="185" t="e">
        <f t="shared" si="21"/>
        <v>#N/A</v>
      </c>
      <c r="Z58" s="186">
        <v>615</v>
      </c>
      <c r="AA58" s="185">
        <f t="shared" si="14"/>
        <v>0.005031294057358478</v>
      </c>
      <c r="AB58" s="185">
        <f t="shared" si="15"/>
        <v>0.00179634639272669</v>
      </c>
      <c r="AC58" s="185">
        <f t="shared" si="16"/>
        <v>0.00011704796020515044</v>
      </c>
      <c r="AD58" s="185">
        <f t="shared" si="17"/>
        <v>1.6345718995184466E-05</v>
      </c>
      <c r="AE58" s="185">
        <f t="shared" si="18"/>
        <v>3.3627629908534275E-08</v>
      </c>
      <c r="AF58" s="185">
        <f t="shared" si="19"/>
        <v>0.004128896476020032</v>
      </c>
      <c r="AG58" s="185" t="e">
        <f t="shared" si="20"/>
        <v>#N/A</v>
      </c>
      <c r="AH58" s="185" t="e">
        <f t="shared" si="11"/>
        <v>#N/A</v>
      </c>
    </row>
    <row r="59" spans="2:34" ht="13.5">
      <c r="B59" s="186">
        <v>620</v>
      </c>
      <c r="C59" s="188">
        <v>0.004443762533751052</v>
      </c>
      <c r="D59" s="188">
        <v>0.0013733477003742228</v>
      </c>
      <c r="E59" s="188">
        <v>7.792136724568548E-05</v>
      </c>
      <c r="F59" s="188">
        <v>1.080458159498441E-05</v>
      </c>
      <c r="G59" s="188">
        <v>2.3276897225265243E-08</v>
      </c>
      <c r="H59" s="188">
        <v>0.381</v>
      </c>
      <c r="J59" s="186">
        <v>620</v>
      </c>
      <c r="K59" s="188">
        <v>0.7379042301291009</v>
      </c>
      <c r="M59" s="185">
        <v>428</v>
      </c>
      <c r="N59" s="185">
        <v>0.1764</v>
      </c>
      <c r="P59" s="186">
        <v>620</v>
      </c>
      <c r="Q59" s="185" t="e">
        <f t="shared" si="13"/>
        <v>#N/A</v>
      </c>
      <c r="T59" s="185">
        <v>438</v>
      </c>
      <c r="U59" s="185">
        <v>0.38095675360496206</v>
      </c>
      <c r="W59" s="186">
        <v>620</v>
      </c>
      <c r="X59" s="185" t="e">
        <f t="shared" si="21"/>
        <v>#N/A</v>
      </c>
      <c r="Z59" s="186">
        <v>620</v>
      </c>
      <c r="AA59" s="185">
        <f t="shared" si="14"/>
        <v>0.004443762533751052</v>
      </c>
      <c r="AB59" s="185">
        <f t="shared" si="15"/>
        <v>0.0013733477003742226</v>
      </c>
      <c r="AC59" s="185">
        <f t="shared" si="16"/>
        <v>7.792136724568552E-05</v>
      </c>
      <c r="AD59" s="185">
        <f t="shared" si="17"/>
        <v>1.0804581594984404E-05</v>
      </c>
      <c r="AE59" s="185">
        <f t="shared" si="18"/>
        <v>2.3276897225265233E-08</v>
      </c>
      <c r="AF59" s="185">
        <f t="shared" si="19"/>
        <v>0.003565524835366347</v>
      </c>
      <c r="AG59" s="185" t="e">
        <f t="shared" si="20"/>
        <v>#N/A</v>
      </c>
      <c r="AH59" s="185" t="e">
        <f t="shared" si="11"/>
        <v>#N/A</v>
      </c>
    </row>
    <row r="60" spans="2:34" ht="13.5">
      <c r="B60" s="186">
        <v>625</v>
      </c>
      <c r="C60" s="188">
        <v>0.0038470148730393033</v>
      </c>
      <c r="D60" s="188">
        <v>0.0010239615433797005</v>
      </c>
      <c r="E60" s="188">
        <v>5.1740397185998476E-05</v>
      </c>
      <c r="F60" s="188">
        <v>7.158639641265185E-06</v>
      </c>
      <c r="G60" s="188">
        <v>1.617262796578283E-08</v>
      </c>
      <c r="H60" s="188">
        <v>0.321</v>
      </c>
      <c r="J60" s="186">
        <v>625</v>
      </c>
      <c r="K60" s="188">
        <v>0.7413102413009175</v>
      </c>
      <c r="M60" s="185">
        <v>429</v>
      </c>
      <c r="N60" s="185">
        <v>0.1879</v>
      </c>
      <c r="P60" s="186">
        <v>625</v>
      </c>
      <c r="Q60" s="185" t="e">
        <f t="shared" si="13"/>
        <v>#N/A</v>
      </c>
      <c r="T60" s="185">
        <v>439</v>
      </c>
      <c r="U60" s="185">
        <v>0.40057686212457394</v>
      </c>
      <c r="W60" s="186">
        <v>625</v>
      </c>
      <c r="X60" s="185" t="e">
        <f t="shared" si="21"/>
        <v>#N/A</v>
      </c>
      <c r="Z60" s="186">
        <v>625</v>
      </c>
      <c r="AA60" s="185">
        <f t="shared" si="14"/>
        <v>0.0038470148730393033</v>
      </c>
      <c r="AB60" s="185">
        <f t="shared" si="15"/>
        <v>0.0010239615433797003</v>
      </c>
      <c r="AC60" s="185">
        <f t="shared" si="16"/>
        <v>5.1740397185998496E-05</v>
      </c>
      <c r="AD60" s="185">
        <f t="shared" si="17"/>
        <v>7.15863964126518E-06</v>
      </c>
      <c r="AE60" s="185">
        <f t="shared" si="18"/>
        <v>1.6172627965782823E-08</v>
      </c>
      <c r="AF60" s="185">
        <f t="shared" si="19"/>
        <v>0.0030040248612929065</v>
      </c>
      <c r="AG60" s="185" t="e">
        <f t="shared" si="20"/>
        <v>#N/A</v>
      </c>
      <c r="AH60" s="185" t="e">
        <f t="shared" si="11"/>
        <v>#N/A</v>
      </c>
    </row>
    <row r="61" spans="2:34" ht="13.5">
      <c r="B61" s="186">
        <v>630</v>
      </c>
      <c r="C61" s="188">
        <v>0.003268503212580401</v>
      </c>
      <c r="D61" s="188">
        <v>0.0007477024759914668</v>
      </c>
      <c r="E61" s="188">
        <v>3.4400921927991843E-05</v>
      </c>
      <c r="F61" s="188">
        <v>4.766991055281396E-06</v>
      </c>
      <c r="G61" s="188">
        <v>1.1303196198471362E-08</v>
      </c>
      <c r="H61" s="188">
        <v>0.265</v>
      </c>
      <c r="J61" s="186">
        <v>630</v>
      </c>
      <c r="K61" s="188">
        <v>0.7447319739059891</v>
      </c>
      <c r="M61" s="185">
        <v>430</v>
      </c>
      <c r="N61" s="185">
        <v>0.1998</v>
      </c>
      <c r="P61" s="186">
        <v>630</v>
      </c>
      <c r="Q61" s="185" t="e">
        <f t="shared" si="13"/>
        <v>#N/A</v>
      </c>
      <c r="T61" s="185">
        <v>440</v>
      </c>
      <c r="U61" s="185">
        <v>0.41979416976546957</v>
      </c>
      <c r="W61" s="186">
        <v>630</v>
      </c>
      <c r="X61" s="185" t="e">
        <f t="shared" si="21"/>
        <v>#N/A</v>
      </c>
      <c r="Z61" s="186">
        <v>630</v>
      </c>
      <c r="AA61" s="185">
        <f t="shared" si="14"/>
        <v>0.003268503212580401</v>
      </c>
      <c r="AB61" s="185">
        <f t="shared" si="15"/>
        <v>0.0007477024759914666</v>
      </c>
      <c r="AC61" s="185">
        <f t="shared" si="16"/>
        <v>3.440092192799186E-05</v>
      </c>
      <c r="AD61" s="185">
        <f t="shared" si="17"/>
        <v>4.7669910552813925E-06</v>
      </c>
      <c r="AE61" s="185">
        <f t="shared" si="18"/>
        <v>1.1303196198471357E-08</v>
      </c>
      <c r="AF61" s="185">
        <f t="shared" si="19"/>
        <v>0.0024799582188243623</v>
      </c>
      <c r="AG61" s="185" t="e">
        <f t="shared" si="20"/>
        <v>#N/A</v>
      </c>
      <c r="AH61" s="185" t="e">
        <f t="shared" si="11"/>
        <v>#N/A</v>
      </c>
    </row>
    <row r="62" spans="2:34" ht="13.5">
      <c r="B62" s="186">
        <v>635</v>
      </c>
      <c r="C62" s="188">
        <v>0.0027225122764713747</v>
      </c>
      <c r="D62" s="188">
        <v>0.0005361072326728037</v>
      </c>
      <c r="E62" s="188">
        <v>2.2929538359025325E-05</v>
      </c>
      <c r="F62" s="188">
        <v>3.191270254405275E-06</v>
      </c>
      <c r="G62" s="188">
        <v>7.945609858383943E-09</v>
      </c>
      <c r="H62" s="188">
        <v>0.217</v>
      </c>
      <c r="J62" s="186">
        <v>635</v>
      </c>
      <c r="K62" s="188">
        <v>0.7481695005111544</v>
      </c>
      <c r="M62" s="185">
        <v>431</v>
      </c>
      <c r="N62" s="185">
        <v>0.2119</v>
      </c>
      <c r="P62" s="186">
        <v>635</v>
      </c>
      <c r="Q62" s="185" t="e">
        <f t="shared" si="13"/>
        <v>#N/A</v>
      </c>
      <c r="T62" s="185">
        <v>441</v>
      </c>
      <c r="U62" s="185">
        <v>0.4382221097087764</v>
      </c>
      <c r="W62" s="186">
        <v>635</v>
      </c>
      <c r="X62" s="185" t="e">
        <f t="shared" si="21"/>
        <v>#N/A</v>
      </c>
      <c r="Z62" s="186">
        <v>635</v>
      </c>
      <c r="AA62" s="185">
        <f t="shared" si="14"/>
        <v>0.0027225122764713747</v>
      </c>
      <c r="AB62" s="185">
        <f t="shared" si="15"/>
        <v>0.0005361072326728036</v>
      </c>
      <c r="AC62" s="185">
        <f t="shared" si="16"/>
        <v>2.2929538359025335E-05</v>
      </c>
      <c r="AD62" s="185">
        <f t="shared" si="17"/>
        <v>3.191270254405273E-06</v>
      </c>
      <c r="AE62" s="185">
        <f t="shared" si="18"/>
        <v>7.94560985838394E-09</v>
      </c>
      <c r="AF62" s="185">
        <f t="shared" si="19"/>
        <v>0.0020307582395656097</v>
      </c>
      <c r="AG62" s="185" t="e">
        <f t="shared" si="20"/>
        <v>#N/A</v>
      </c>
      <c r="AH62" s="185" t="e">
        <f t="shared" si="11"/>
        <v>#N/A</v>
      </c>
    </row>
    <row r="63" spans="2:34" ht="13.5">
      <c r="B63" s="186">
        <v>640</v>
      </c>
      <c r="C63" s="188">
        <v>0.002221160974639873</v>
      </c>
      <c r="D63" s="188">
        <v>0.0003785973217917159</v>
      </c>
      <c r="E63" s="188">
        <v>1.5335147030144287E-05</v>
      </c>
      <c r="F63" s="188">
        <v>2.1481213948527078E-06</v>
      </c>
      <c r="G63" s="188">
        <v>5.616946723903807E-09</v>
      </c>
      <c r="H63" s="188">
        <v>0.175</v>
      </c>
      <c r="J63" s="186">
        <v>640</v>
      </c>
      <c r="K63" s="188">
        <v>0.7516228940182055</v>
      </c>
      <c r="M63" s="185">
        <v>432</v>
      </c>
      <c r="N63" s="185">
        <v>0.2243</v>
      </c>
      <c r="P63" s="186">
        <v>640</v>
      </c>
      <c r="Q63" s="185" t="e">
        <f t="shared" si="13"/>
        <v>#N/A</v>
      </c>
      <c r="T63" s="185">
        <v>442</v>
      </c>
      <c r="U63" s="185">
        <v>0.4559914530190057</v>
      </c>
      <c r="W63" s="186">
        <v>640</v>
      </c>
      <c r="X63" s="185" t="e">
        <f t="shared" si="21"/>
        <v>#N/A</v>
      </c>
      <c r="Z63" s="186">
        <v>640</v>
      </c>
      <c r="AA63" s="185">
        <f t="shared" si="14"/>
        <v>0.002221160974639873</v>
      </c>
      <c r="AB63" s="185">
        <f t="shared" si="15"/>
        <v>0.00037859732179171577</v>
      </c>
      <c r="AC63" s="185">
        <f t="shared" si="16"/>
        <v>1.5335147030144293E-05</v>
      </c>
      <c r="AD63" s="185">
        <f t="shared" si="17"/>
        <v>2.1481213948527065E-06</v>
      </c>
      <c r="AE63" s="185">
        <f t="shared" si="18"/>
        <v>5.6169467239038044E-09</v>
      </c>
      <c r="AF63" s="185">
        <f t="shared" si="19"/>
        <v>0.0016377082577142012</v>
      </c>
      <c r="AG63" s="185" t="e">
        <f t="shared" si="20"/>
        <v>#N/A</v>
      </c>
      <c r="AH63" s="185" t="e">
        <f t="shared" si="11"/>
        <v>#N/A</v>
      </c>
    </row>
    <row r="64" spans="2:34" ht="13.5">
      <c r="B64" s="186">
        <v>645</v>
      </c>
      <c r="C64" s="188">
        <v>0.0017717509897958264</v>
      </c>
      <c r="D64" s="188">
        <v>0.0002638715287375097</v>
      </c>
      <c r="E64" s="188">
        <v>1.0285486203207744E-05</v>
      </c>
      <c r="F64" s="188">
        <v>1.4523405365548817E-06</v>
      </c>
      <c r="G64" s="188">
        <v>3.988080476953039E-09</v>
      </c>
      <c r="H64" s="188">
        <v>0.1382</v>
      </c>
      <c r="J64" s="186">
        <v>645</v>
      </c>
      <c r="K64" s="188">
        <v>0.7542233958475708</v>
      </c>
      <c r="M64" s="185">
        <v>433</v>
      </c>
      <c r="N64" s="185">
        <v>0.2369</v>
      </c>
      <c r="P64" s="186">
        <v>645</v>
      </c>
      <c r="Q64" s="185" t="e">
        <f t="shared" si="13"/>
        <v>#N/A</v>
      </c>
      <c r="T64" s="185">
        <v>443</v>
      </c>
      <c r="U64" s="185">
        <v>0.4734357402557954</v>
      </c>
      <c r="W64" s="186">
        <v>645</v>
      </c>
      <c r="X64" s="185" t="e">
        <f t="shared" si="21"/>
        <v>#N/A</v>
      </c>
      <c r="Z64" s="186">
        <v>645</v>
      </c>
      <c r="AA64" s="185">
        <f t="shared" si="14"/>
        <v>0.0017717509897958264</v>
      </c>
      <c r="AB64" s="185">
        <f t="shared" si="15"/>
        <v>0.00026387152873750966</v>
      </c>
      <c r="AC64" s="185">
        <f t="shared" si="16"/>
        <v>1.028548620320775E-05</v>
      </c>
      <c r="AD64" s="185">
        <f t="shared" si="17"/>
        <v>1.4523405365548806E-06</v>
      </c>
      <c r="AE64" s="185">
        <f t="shared" si="18"/>
        <v>3.9880804769530374E-09</v>
      </c>
      <c r="AF64" s="185">
        <f t="shared" si="19"/>
        <v>0.0012933216069491579</v>
      </c>
      <c r="AG64" s="185" t="e">
        <f t="shared" si="20"/>
        <v>#N/A</v>
      </c>
      <c r="AH64" s="185" t="e">
        <f t="shared" si="11"/>
        <v>#N/A</v>
      </c>
    </row>
    <row r="65" spans="2:34" ht="13.5">
      <c r="B65" s="186">
        <v>650</v>
      </c>
      <c r="C65" s="188">
        <v>0.00138317747854235</v>
      </c>
      <c r="D65" s="188">
        <v>0.00018227729928094516</v>
      </c>
      <c r="E65" s="188">
        <v>6.92949723069198E-06</v>
      </c>
      <c r="F65" s="188">
        <v>9.874322220782462E-07</v>
      </c>
      <c r="G65" s="188">
        <v>2.8468404070969117E-09</v>
      </c>
      <c r="H65" s="188">
        <v>0.107</v>
      </c>
      <c r="J65" s="186">
        <v>650</v>
      </c>
      <c r="K65" s="188">
        <v>0.7568328950209744</v>
      </c>
      <c r="M65" s="185">
        <v>434</v>
      </c>
      <c r="N65" s="185">
        <v>0.2496</v>
      </c>
      <c r="P65" s="186">
        <v>650</v>
      </c>
      <c r="Q65" s="185" t="e">
        <f t="shared" si="13"/>
        <v>#N/A</v>
      </c>
      <c r="T65" s="185">
        <v>444</v>
      </c>
      <c r="U65" s="185">
        <v>0.490913365387978</v>
      </c>
      <c r="W65" s="186">
        <v>650</v>
      </c>
      <c r="X65" s="185" t="e">
        <f t="shared" si="21"/>
        <v>#N/A</v>
      </c>
      <c r="Z65" s="186">
        <v>650</v>
      </c>
      <c r="AA65" s="185">
        <f t="shared" si="14"/>
        <v>0.00138317747854235</v>
      </c>
      <c r="AB65" s="185">
        <f t="shared" si="15"/>
        <v>0.00018227729928094514</v>
      </c>
      <c r="AC65" s="185">
        <f t="shared" si="16"/>
        <v>6.929497230691983E-06</v>
      </c>
      <c r="AD65" s="185">
        <f t="shared" si="17"/>
        <v>9.874322220782456E-07</v>
      </c>
      <c r="AE65" s="185">
        <f t="shared" si="18"/>
        <v>2.8468404070969104E-09</v>
      </c>
      <c r="AF65" s="185">
        <f t="shared" si="19"/>
        <v>0.0010013416204309687</v>
      </c>
      <c r="AG65" s="185" t="e">
        <f t="shared" si="20"/>
        <v>#N/A</v>
      </c>
      <c r="AH65" s="185" t="e">
        <f t="shared" si="11"/>
        <v>#N/A</v>
      </c>
    </row>
    <row r="66" spans="2:34" ht="13.5">
      <c r="B66" s="186">
        <v>655</v>
      </c>
      <c r="C66" s="188">
        <v>0.0010573804723978384</v>
      </c>
      <c r="D66" s="188">
        <v>0.00012514310507521074</v>
      </c>
      <c r="E66" s="188">
        <v>4.690865234112654E-06</v>
      </c>
      <c r="F66" s="188">
        <v>6.751074252369935E-07</v>
      </c>
      <c r="G66" s="188">
        <v>2.042888130436482E-09</v>
      </c>
      <c r="H66" s="188">
        <v>0.0816</v>
      </c>
      <c r="J66" s="186">
        <v>655</v>
      </c>
      <c r="K66" s="188">
        <v>0.7594514226678694</v>
      </c>
      <c r="M66" s="185">
        <v>435</v>
      </c>
      <c r="N66" s="185">
        <v>0.2625</v>
      </c>
      <c r="P66" s="186">
        <v>655</v>
      </c>
      <c r="Q66" s="185" t="e">
        <f t="shared" si="13"/>
        <v>#N/A</v>
      </c>
      <c r="T66" s="185">
        <v>445</v>
      </c>
      <c r="U66" s="185">
        <v>0.5089039928306279</v>
      </c>
      <c r="W66" s="186">
        <v>655</v>
      </c>
      <c r="X66" s="185" t="e">
        <f t="shared" si="21"/>
        <v>#N/A</v>
      </c>
      <c r="Z66" s="186">
        <v>655</v>
      </c>
      <c r="AA66" s="185">
        <f t="shared" si="14"/>
        <v>0.0010573804723978384</v>
      </c>
      <c r="AB66" s="185">
        <f t="shared" si="15"/>
        <v>0.00012514310507521072</v>
      </c>
      <c r="AC66" s="185">
        <f t="shared" si="16"/>
        <v>4.6908652341126555E-06</v>
      </c>
      <c r="AD66" s="185">
        <f t="shared" si="17"/>
        <v>6.751074252369931E-07</v>
      </c>
      <c r="AE66" s="185">
        <f t="shared" si="18"/>
        <v>2.042888130436481E-09</v>
      </c>
      <c r="AF66" s="185">
        <f t="shared" si="19"/>
        <v>0.0007636399647398791</v>
      </c>
      <c r="AG66" s="185" t="e">
        <f t="shared" si="20"/>
        <v>#N/A</v>
      </c>
      <c r="AH66" s="185" t="e">
        <f t="shared" si="11"/>
        <v>#N/A</v>
      </c>
    </row>
    <row r="67" spans="2:34" ht="13.5">
      <c r="B67" s="186">
        <v>660</v>
      </c>
      <c r="C67" s="188">
        <v>0.0007925023288212188</v>
      </c>
      <c r="D67" s="188">
        <v>8.559689423297559E-05</v>
      </c>
      <c r="E67" s="188">
        <v>3.1912927992026777E-06</v>
      </c>
      <c r="F67" s="188">
        <v>4.641413786951761E-07</v>
      </c>
      <c r="G67" s="188">
        <v>1.473521566780494E-09</v>
      </c>
      <c r="H67" s="188">
        <v>0.061</v>
      </c>
      <c r="J67" s="186">
        <v>660</v>
      </c>
      <c r="K67" s="188">
        <v>0.762079010025412</v>
      </c>
      <c r="M67" s="185">
        <v>436</v>
      </c>
      <c r="N67" s="185">
        <v>0.2755</v>
      </c>
      <c r="P67" s="186">
        <v>660</v>
      </c>
      <c r="Q67" s="185" t="e">
        <f t="shared" si="13"/>
        <v>#N/A</v>
      </c>
      <c r="T67" s="185">
        <v>446</v>
      </c>
      <c r="U67" s="185">
        <v>0.5277665802801816</v>
      </c>
      <c r="W67" s="186">
        <v>660</v>
      </c>
      <c r="X67" s="185" t="e">
        <f t="shared" si="21"/>
        <v>#N/A</v>
      </c>
      <c r="Z67" s="186">
        <v>660</v>
      </c>
      <c r="AA67" s="185">
        <f t="shared" si="14"/>
        <v>0.0007925023288212188</v>
      </c>
      <c r="AB67" s="185">
        <f t="shared" si="15"/>
        <v>8.559689423297558E-05</v>
      </c>
      <c r="AC67" s="185">
        <f t="shared" si="16"/>
        <v>3.191292799202679E-06</v>
      </c>
      <c r="AD67" s="185">
        <f t="shared" si="17"/>
        <v>4.6414137869517576E-07</v>
      </c>
      <c r="AE67" s="185">
        <f t="shared" si="18"/>
        <v>1.4735215667804934E-09</v>
      </c>
      <c r="AF67" s="185">
        <f t="shared" si="19"/>
        <v>0.0005708583069746645</v>
      </c>
      <c r="AG67" s="185" t="e">
        <f t="shared" si="20"/>
        <v>#N/A</v>
      </c>
      <c r="AH67" s="185" t="e">
        <f t="shared" si="11"/>
        <v>#N/A</v>
      </c>
    </row>
    <row r="68" spans="2:34" ht="13.5">
      <c r="B68" s="186">
        <v>665</v>
      </c>
      <c r="C68" s="188">
        <v>0.0005834581384466582</v>
      </c>
      <c r="D68" s="188">
        <v>5.844547779386776E-05</v>
      </c>
      <c r="E68" s="188">
        <v>2.182209664086462E-06</v>
      </c>
      <c r="F68" s="188">
        <v>3.208600056396207E-07</v>
      </c>
      <c r="G68" s="188">
        <v>1.0681901343808488E-09</v>
      </c>
      <c r="H68" s="188">
        <v>0.04458</v>
      </c>
      <c r="J68" s="186">
        <v>665</v>
      </c>
      <c r="K68" s="188">
        <v>0.7647156884388346</v>
      </c>
      <c r="M68" s="185">
        <v>437</v>
      </c>
      <c r="N68" s="185">
        <v>0.2886</v>
      </c>
      <c r="P68" s="186">
        <v>665</v>
      </c>
      <c r="Q68" s="185" t="e">
        <f t="shared" si="13"/>
        <v>#N/A</v>
      </c>
      <c r="T68" s="185">
        <v>447</v>
      </c>
      <c r="U68" s="185">
        <v>0.5472816540888007</v>
      </c>
      <c r="W68" s="186">
        <v>665</v>
      </c>
      <c r="Z68" s="186">
        <v>665</v>
      </c>
      <c r="AA68" s="185">
        <f t="shared" si="14"/>
        <v>0.0005834581384466582</v>
      </c>
      <c r="AB68" s="185">
        <f t="shared" si="15"/>
        <v>5.8445477793867744E-05</v>
      </c>
      <c r="AC68" s="185">
        <f t="shared" si="16"/>
        <v>2.182209664086463E-06</v>
      </c>
      <c r="AD68" s="185">
        <f t="shared" si="17"/>
        <v>3.208600056396205E-07</v>
      </c>
      <c r="AE68" s="185">
        <f t="shared" si="18"/>
        <v>1.0681901343808484E-09</v>
      </c>
      <c r="AF68" s="185">
        <f t="shared" si="19"/>
        <v>0.0004171944807365663</v>
      </c>
      <c r="AG68" s="185" t="e">
        <f t="shared" si="20"/>
        <v>#N/A</v>
      </c>
      <c r="AH68" s="185" t="e">
        <f t="shared" si="11"/>
        <v>#N/A</v>
      </c>
    </row>
    <row r="69" spans="2:34" ht="13.5">
      <c r="B69" s="186">
        <v>670</v>
      </c>
      <c r="C69" s="188">
        <v>0.00042295830007436236</v>
      </c>
      <c r="D69" s="188">
        <v>3.990086618819484E-05</v>
      </c>
      <c r="E69" s="188">
        <v>1.4999282415928948E-06</v>
      </c>
      <c r="F69" s="188">
        <v>2.2301726791593548E-07</v>
      </c>
      <c r="G69" s="188">
        <v>7.781654301953831E-10</v>
      </c>
      <c r="H69" s="188">
        <v>0.032</v>
      </c>
      <c r="J69" s="186">
        <v>670</v>
      </c>
      <c r="K69" s="188">
        <v>0.767361489361819</v>
      </c>
      <c r="M69" s="185">
        <v>438</v>
      </c>
      <c r="N69" s="185">
        <v>0.3017</v>
      </c>
      <c r="P69" s="186">
        <v>670</v>
      </c>
      <c r="Q69" s="185" t="e">
        <f t="shared" si="13"/>
        <v>#N/A</v>
      </c>
      <c r="T69" s="185">
        <v>448</v>
      </c>
      <c r="U69" s="185">
        <v>0.5670233122428873</v>
      </c>
      <c r="W69" s="186">
        <v>670</v>
      </c>
      <c r="Z69" s="186">
        <v>670</v>
      </c>
      <c r="AA69" s="185">
        <f t="shared" si="14"/>
        <v>0.00042295830007436236</v>
      </c>
      <c r="AB69" s="185">
        <f t="shared" si="15"/>
        <v>3.9900866188194834E-05</v>
      </c>
      <c r="AC69" s="185">
        <f t="shared" si="16"/>
        <v>1.4999282415928954E-06</v>
      </c>
      <c r="AD69" s="185">
        <f t="shared" si="17"/>
        <v>2.2301726791593533E-07</v>
      </c>
      <c r="AE69" s="185">
        <f t="shared" si="18"/>
        <v>7.781654301953828E-10</v>
      </c>
      <c r="AF69" s="185">
        <f t="shared" si="19"/>
        <v>0.00029946665283916827</v>
      </c>
      <c r="AG69" s="185" t="e">
        <f t="shared" si="20"/>
        <v>#N/A</v>
      </c>
      <c r="AH69" s="185" t="e">
        <f t="shared" si="11"/>
        <v>#N/A</v>
      </c>
    </row>
    <row r="70" spans="2:34" ht="13.5">
      <c r="B70" s="186">
        <v>675</v>
      </c>
      <c r="C70" s="188">
        <v>0.0003023578616404732</v>
      </c>
      <c r="D70" s="188">
        <v>2.7239549620019535E-05</v>
      </c>
      <c r="E70" s="188">
        <v>1.0351369523851464E-06</v>
      </c>
      <c r="F70" s="188">
        <v>1.5566259620945147E-07</v>
      </c>
      <c r="G70" s="188">
        <v>5.689566611025023E-10</v>
      </c>
      <c r="H70" s="188">
        <v>0.0232</v>
      </c>
      <c r="J70" s="186">
        <v>675</v>
      </c>
      <c r="K70" s="188">
        <v>0.7691304402866096</v>
      </c>
      <c r="M70" s="185">
        <v>439</v>
      </c>
      <c r="N70" s="185">
        <v>0.3149</v>
      </c>
      <c r="P70" s="186">
        <v>675</v>
      </c>
      <c r="Q70" s="185" t="e">
        <f t="shared" si="13"/>
        <v>#N/A</v>
      </c>
      <c r="T70" s="185">
        <v>449</v>
      </c>
      <c r="U70" s="185">
        <v>0.5865027849379472</v>
      </c>
      <c r="W70" s="186">
        <v>675</v>
      </c>
      <c r="Z70" s="186">
        <v>675</v>
      </c>
      <c r="AA70" s="185">
        <f t="shared" si="14"/>
        <v>0.0003023578616404732</v>
      </c>
      <c r="AB70" s="185">
        <f t="shared" si="15"/>
        <v>2.7239549620019528E-05</v>
      </c>
      <c r="AC70" s="185">
        <f t="shared" si="16"/>
        <v>1.0351369523851468E-06</v>
      </c>
      <c r="AD70" s="185">
        <f t="shared" si="17"/>
        <v>1.5566259620945137E-07</v>
      </c>
      <c r="AE70" s="185">
        <f t="shared" si="18"/>
        <v>5.689566611025021E-10</v>
      </c>
      <c r="AF70" s="185">
        <f t="shared" si="19"/>
        <v>0.00021711332330839696</v>
      </c>
      <c r="AG70" s="185" t="e">
        <f t="shared" si="20"/>
        <v>#N/A</v>
      </c>
      <c r="AH70" s="185" t="e">
        <f t="shared" si="11"/>
        <v>#N/A</v>
      </c>
    </row>
    <row r="71" spans="2:34" ht="13.5">
      <c r="B71" s="186">
        <v>680</v>
      </c>
      <c r="C71" s="188">
        <v>0.00021397316734601547</v>
      </c>
      <c r="D71" s="188">
        <v>1.8634839892524495E-05</v>
      </c>
      <c r="E71" s="188">
        <v>7.180814189387229E-07</v>
      </c>
      <c r="F71" s="188">
        <v>1.0922327080147E-07</v>
      </c>
      <c r="G71" s="188">
        <v>4.1794998203547296E-10</v>
      </c>
      <c r="H71" s="188">
        <v>0.017</v>
      </c>
      <c r="J71" s="186">
        <v>680</v>
      </c>
      <c r="K71" s="188">
        <v>0.77090346906443</v>
      </c>
      <c r="M71" s="185">
        <v>440</v>
      </c>
      <c r="N71" s="185">
        <v>0.3281</v>
      </c>
      <c r="P71" s="186">
        <v>680</v>
      </c>
      <c r="Q71" s="185" t="e">
        <f t="shared" si="13"/>
        <v>#N/A</v>
      </c>
      <c r="T71" s="185">
        <v>450</v>
      </c>
      <c r="U71" s="185">
        <v>0.6051688406443554</v>
      </c>
      <c r="W71" s="186">
        <v>680</v>
      </c>
      <c r="Z71" s="186">
        <v>680</v>
      </c>
      <c r="AA71" s="185">
        <f t="shared" si="14"/>
        <v>0.00021397316734601547</v>
      </c>
      <c r="AB71" s="185">
        <f t="shared" si="15"/>
        <v>1.863483989252449E-05</v>
      </c>
      <c r="AC71" s="185">
        <f t="shared" si="16"/>
        <v>7.180814189387232E-07</v>
      </c>
      <c r="AD71" s="185">
        <f t="shared" si="17"/>
        <v>1.0922327080146993E-07</v>
      </c>
      <c r="AE71" s="185">
        <f t="shared" si="18"/>
        <v>4.1794998203547275E-10</v>
      </c>
      <c r="AF71" s="185">
        <f t="shared" si="19"/>
        <v>0.00015909165932080814</v>
      </c>
      <c r="AG71" s="185" t="e">
        <f t="shared" si="20"/>
        <v>#N/A</v>
      </c>
      <c r="AH71" s="185" t="e">
        <f t="shared" si="11"/>
        <v>#N/A</v>
      </c>
    </row>
    <row r="72" spans="2:34" ht="13.5">
      <c r="B72" s="186">
        <v>685</v>
      </c>
      <c r="C72" s="188">
        <v>0.0001502907656906822</v>
      </c>
      <c r="D72" s="188">
        <v>1.2784355233550754E-05</v>
      </c>
      <c r="E72" s="188">
        <v>5.007064333256732E-07</v>
      </c>
      <c r="F72" s="188">
        <v>7.703560838155365E-08</v>
      </c>
      <c r="G72" s="188">
        <v>3.0843421480286125E-10</v>
      </c>
      <c r="H72" s="188">
        <v>0.01192</v>
      </c>
      <c r="J72" s="186">
        <v>685</v>
      </c>
      <c r="K72" s="188">
        <v>0.7726805850957023</v>
      </c>
      <c r="M72" s="185">
        <v>441</v>
      </c>
      <c r="N72" s="185">
        <v>0.3412</v>
      </c>
      <c r="P72" s="186">
        <v>685</v>
      </c>
      <c r="Q72" s="185" t="e">
        <f t="shared" si="13"/>
        <v>#N/A</v>
      </c>
      <c r="T72" s="185">
        <v>451</v>
      </c>
      <c r="U72" s="185">
        <v>0.622570547693021</v>
      </c>
      <c r="W72" s="186">
        <v>685</v>
      </c>
      <c r="Z72" s="186">
        <v>685</v>
      </c>
      <c r="AA72" s="185">
        <f t="shared" si="14"/>
        <v>0.0001502907656906822</v>
      </c>
      <c r="AB72" s="185">
        <f t="shared" si="15"/>
        <v>1.278435523355075E-05</v>
      </c>
      <c r="AC72" s="185">
        <f t="shared" si="16"/>
        <v>5.007064333256734E-07</v>
      </c>
      <c r="AD72" s="185">
        <f t="shared" si="17"/>
        <v>7.70356083815536E-08</v>
      </c>
      <c r="AE72" s="185">
        <f t="shared" si="18"/>
        <v>3.084342148028611E-10</v>
      </c>
      <c r="AF72" s="185">
        <f t="shared" si="19"/>
        <v>0.00011155132818259017</v>
      </c>
      <c r="AG72" s="185" t="e">
        <f t="shared" si="20"/>
        <v>#N/A</v>
      </c>
      <c r="AH72" s="185" t="e">
        <f t="shared" si="11"/>
        <v>#N/A</v>
      </c>
    </row>
    <row r="73" spans="2:34" ht="13.5">
      <c r="B73" s="186">
        <v>690</v>
      </c>
      <c r="C73" s="188">
        <v>0.00010501471266921476</v>
      </c>
      <c r="D73" s="188">
        <v>8.800285257017559E-06</v>
      </c>
      <c r="E73" s="188">
        <v>3.509166323547024E-07</v>
      </c>
      <c r="F73" s="188">
        <v>5.461002985272982E-08</v>
      </c>
      <c r="G73" s="188">
        <v>2.2863907858286072E-10</v>
      </c>
      <c r="H73" s="188">
        <v>0.00821</v>
      </c>
      <c r="J73" s="186">
        <v>690</v>
      </c>
      <c r="K73" s="188">
        <v>0.7744617978025187</v>
      </c>
      <c r="M73" s="185">
        <v>442</v>
      </c>
      <c r="N73" s="185">
        <v>0.3543</v>
      </c>
      <c r="P73" s="186">
        <v>690</v>
      </c>
      <c r="Q73" s="185" t="e">
        <f t="shared" si="13"/>
        <v>#N/A</v>
      </c>
      <c r="T73" s="185">
        <v>452</v>
      </c>
      <c r="U73" s="185">
        <v>0.6387991911721305</v>
      </c>
      <c r="W73" s="186">
        <v>690</v>
      </c>
      <c r="Z73" s="186">
        <v>690</v>
      </c>
      <c r="AA73" s="185">
        <f t="shared" si="14"/>
        <v>0.00010501471266921476</v>
      </c>
      <c r="AB73" s="185">
        <f t="shared" si="15"/>
        <v>8.800285257017557E-06</v>
      </c>
      <c r="AC73" s="185">
        <f t="shared" si="16"/>
        <v>3.5091663235470254E-07</v>
      </c>
      <c r="AD73" s="185">
        <f t="shared" si="17"/>
        <v>5.461002985272979E-08</v>
      </c>
      <c r="AE73" s="185">
        <f t="shared" si="18"/>
        <v>2.2863907858286061E-10</v>
      </c>
      <c r="AF73" s="185">
        <f t="shared" si="19"/>
        <v>7.68319131190491E-05</v>
      </c>
      <c r="AG73" s="185" t="e">
        <f t="shared" si="20"/>
        <v>#N/A</v>
      </c>
      <c r="AH73" s="185" t="e">
        <f t="shared" si="11"/>
        <v>#N/A</v>
      </c>
    </row>
    <row r="74" spans="2:34" ht="13.5">
      <c r="B74" s="186">
        <v>695</v>
      </c>
      <c r="C74" s="188">
        <v>7.308621147918915E-05</v>
      </c>
      <c r="D74" s="188">
        <v>6.075785498533702E-06</v>
      </c>
      <c r="E74" s="188">
        <v>2.469781043695575E-07</v>
      </c>
      <c r="F74" s="188">
        <v>3.8874641877326045E-08</v>
      </c>
      <c r="G74" s="188">
        <v>1.7009671089712813E-10</v>
      </c>
      <c r="H74" s="188">
        <v>0.005723</v>
      </c>
      <c r="J74" s="186">
        <v>695</v>
      </c>
      <c r="K74" s="188">
        <v>0.775621787376724</v>
      </c>
      <c r="M74" s="185">
        <v>443</v>
      </c>
      <c r="N74" s="185">
        <v>0.3673</v>
      </c>
      <c r="P74" s="186">
        <v>695</v>
      </c>
      <c r="Q74" s="185" t="e">
        <f t="shared" si="13"/>
        <v>#N/A</v>
      </c>
      <c r="T74" s="185">
        <v>453</v>
      </c>
      <c r="U74" s="185">
        <v>0.6541421979925595</v>
      </c>
      <c r="W74" s="186">
        <v>695</v>
      </c>
      <c r="Z74" s="186">
        <v>695</v>
      </c>
      <c r="AA74" s="185">
        <f t="shared" si="14"/>
        <v>7.308621147918915E-05</v>
      </c>
      <c r="AB74" s="185">
        <f t="shared" si="15"/>
        <v>6.0757854985337E-06</v>
      </c>
      <c r="AC74" s="185">
        <f t="shared" si="16"/>
        <v>2.469781043695576E-07</v>
      </c>
      <c r="AD74" s="185">
        <f t="shared" si="17"/>
        <v>3.887464187732602E-08</v>
      </c>
      <c r="AE74" s="185">
        <f t="shared" si="18"/>
        <v>1.7009671089712805E-10</v>
      </c>
      <c r="AF74" s="185">
        <f t="shared" si="19"/>
        <v>5.3557739193704994E-05</v>
      </c>
      <c r="AG74" s="185" t="e">
        <f t="shared" si="20"/>
        <v>#N/A</v>
      </c>
      <c r="AH74" s="185" t="e">
        <f t="shared" si="11"/>
        <v>#N/A</v>
      </c>
    </row>
    <row r="75" spans="2:34" ht="13.5">
      <c r="B75" s="186">
        <v>700</v>
      </c>
      <c r="C75" s="188">
        <v>5.078872822682285E-05</v>
      </c>
      <c r="D75" s="188">
        <v>4.211811983108425E-06</v>
      </c>
      <c r="E75" s="188">
        <v>1.746889280046445E-07</v>
      </c>
      <c r="F75" s="188">
        <v>2.7808773809405942E-08</v>
      </c>
      <c r="G75" s="188">
        <v>1.2708897046111458E-10</v>
      </c>
      <c r="H75" s="188">
        <v>0.004102</v>
      </c>
      <c r="J75" s="186">
        <v>700</v>
      </c>
      <c r="K75" s="188">
        <v>0.7767835143843523</v>
      </c>
      <c r="M75" s="185">
        <v>444</v>
      </c>
      <c r="N75" s="185">
        <v>0.3803</v>
      </c>
      <c r="P75" s="186">
        <v>700</v>
      </c>
      <c r="Q75" s="185" t="e">
        <f aca="true" t="shared" si="22" ref="Q75:Q91">VLOOKUP($P75,$M$11:$N$93,2,0)</f>
        <v>#N/A</v>
      </c>
      <c r="T75" s="185">
        <v>454</v>
      </c>
      <c r="U75" s="185">
        <v>0.6689139263956863</v>
      </c>
      <c r="W75" s="186">
        <v>700</v>
      </c>
      <c r="Z75" s="186">
        <v>700</v>
      </c>
      <c r="AA75" s="185">
        <f aca="true" t="shared" si="23" ref="AA75:AA91">C75/C$5</f>
        <v>5.078872822682285E-05</v>
      </c>
      <c r="AB75" s="185">
        <f aca="true" t="shared" si="24" ref="AB75:AB91">D75/D$5</f>
        <v>4.2118119831084245E-06</v>
      </c>
      <c r="AC75" s="185">
        <f aca="true" t="shared" si="25" ref="AC75:AC91">E75/E$5</f>
        <v>1.7468892800464459E-07</v>
      </c>
      <c r="AD75" s="185">
        <f aca="true" t="shared" si="26" ref="AD75:AD91">F75/F$5</f>
        <v>2.7808773809405922E-08</v>
      </c>
      <c r="AE75" s="185">
        <f aca="true" t="shared" si="27" ref="AE75:AE91">G75/G$5</f>
        <v>1.2708897046111453E-10</v>
      </c>
      <c r="AF75" s="185">
        <f aca="true" t="shared" si="28" ref="AF75:AF91">H75/H$5</f>
        <v>3.838788156082088E-05</v>
      </c>
      <c r="AG75" s="185" t="e">
        <f aca="true" t="shared" si="29" ref="AG75:AG91">0.2*Q75/SUM($Q$11:$Q$91)</f>
        <v>#N/A</v>
      </c>
      <c r="AH75" s="185" t="e">
        <f t="shared" si="11"/>
        <v>#N/A</v>
      </c>
    </row>
    <row r="76" spans="2:34" ht="13.5">
      <c r="B76" s="186">
        <v>705</v>
      </c>
      <c r="C76" s="188">
        <v>3.528897561847763E-05</v>
      </c>
      <c r="D76" s="188">
        <v>2.9321155515568154E-06</v>
      </c>
      <c r="E76" s="188">
        <v>1.24162628280985E-07</v>
      </c>
      <c r="F76" s="188">
        <v>1.9988363164259478E-08</v>
      </c>
      <c r="G76" s="188">
        <v>9.535566085780832E-11</v>
      </c>
      <c r="H76" s="188">
        <v>0.002929</v>
      </c>
      <c r="J76" s="186">
        <v>705</v>
      </c>
      <c r="K76" s="188">
        <v>0.7779469814277328</v>
      </c>
      <c r="M76" s="185">
        <v>445</v>
      </c>
      <c r="N76" s="185">
        <v>0.3931</v>
      </c>
      <c r="P76" s="186">
        <v>705</v>
      </c>
      <c r="Q76" s="185" t="e">
        <f t="shared" si="22"/>
        <v>#N/A</v>
      </c>
      <c r="T76" s="185">
        <v>455</v>
      </c>
      <c r="U76" s="185">
        <v>0.6834972833082759</v>
      </c>
      <c r="W76" s="186">
        <v>705</v>
      </c>
      <c r="Z76" s="186">
        <v>705</v>
      </c>
      <c r="AA76" s="185">
        <f t="shared" si="23"/>
        <v>3.528897561847763E-05</v>
      </c>
      <c r="AB76" s="185">
        <f t="shared" si="24"/>
        <v>2.9321155515568145E-06</v>
      </c>
      <c r="AC76" s="185">
        <f t="shared" si="25"/>
        <v>1.2416262828098505E-07</v>
      </c>
      <c r="AD76" s="185">
        <f t="shared" si="26"/>
        <v>1.9988363164259465E-08</v>
      </c>
      <c r="AE76" s="185">
        <f t="shared" si="27"/>
        <v>9.535566085780828E-11</v>
      </c>
      <c r="AF76" s="185">
        <f t="shared" si="28"/>
        <v>2.741055706768512E-05</v>
      </c>
      <c r="AG76" s="185" t="e">
        <f t="shared" si="29"/>
        <v>#N/A</v>
      </c>
      <c r="AH76" s="185" t="e">
        <f aca="true" t="shared" si="30" ref="AH76:AH91">0.2*X76/SUM($X$11:$X$91)</f>
        <v>#N/A</v>
      </c>
    </row>
    <row r="77" spans="2:34" ht="13.5">
      <c r="B77" s="186">
        <v>710</v>
      </c>
      <c r="C77" s="188">
        <v>2.4542731995360993E-05</v>
      </c>
      <c r="D77" s="188">
        <v>2.0501899776045654E-06</v>
      </c>
      <c r="E77" s="188">
        <v>8.867465281940051E-08</v>
      </c>
      <c r="F77" s="188">
        <v>1.4434822476490491E-08</v>
      </c>
      <c r="G77" s="188">
        <v>7.184111381853577E-11</v>
      </c>
      <c r="H77" s="188">
        <v>0.002091</v>
      </c>
      <c r="J77" s="186">
        <v>710</v>
      </c>
      <c r="K77" s="188">
        <v>0.7791121911130926</v>
      </c>
      <c r="M77" s="185">
        <v>446</v>
      </c>
      <c r="N77" s="185">
        <v>0.406</v>
      </c>
      <c r="P77" s="186">
        <v>710</v>
      </c>
      <c r="Q77" s="185" t="e">
        <f t="shared" si="22"/>
        <v>#N/A</v>
      </c>
      <c r="T77" s="185">
        <v>456</v>
      </c>
      <c r="U77" s="185">
        <v>0.6982002723731437</v>
      </c>
      <c r="W77" s="186">
        <v>710</v>
      </c>
      <c r="Z77" s="186">
        <v>710</v>
      </c>
      <c r="AA77" s="185">
        <f t="shared" si="23"/>
        <v>2.4542731995360993E-05</v>
      </c>
      <c r="AB77" s="185">
        <f t="shared" si="24"/>
        <v>2.050189977604565E-06</v>
      </c>
      <c r="AC77" s="185">
        <f t="shared" si="25"/>
        <v>8.867465281940055E-08</v>
      </c>
      <c r="AD77" s="185">
        <f t="shared" si="26"/>
        <v>1.4434822476490481E-08</v>
      </c>
      <c r="AE77" s="185">
        <f t="shared" si="27"/>
        <v>7.184111381853575E-11</v>
      </c>
      <c r="AF77" s="185">
        <f t="shared" si="28"/>
        <v>1.95682740964594E-05</v>
      </c>
      <c r="AG77" s="185" t="e">
        <f t="shared" si="29"/>
        <v>#N/A</v>
      </c>
      <c r="AH77" s="185" t="e">
        <f t="shared" si="30"/>
        <v>#N/A</v>
      </c>
    </row>
    <row r="78" spans="2:34" ht="13.5">
      <c r="B78" s="186">
        <v>715</v>
      </c>
      <c r="C78" s="188">
        <v>1.709771668164912E-05</v>
      </c>
      <c r="D78" s="188">
        <v>1.4397632664492293E-06</v>
      </c>
      <c r="E78" s="188">
        <v>6.362160909056652E-08</v>
      </c>
      <c r="F78" s="188">
        <v>1.047113815733268E-08</v>
      </c>
      <c r="G78" s="188">
        <v>5.433752385089164E-11</v>
      </c>
      <c r="H78" s="188">
        <v>0.001484</v>
      </c>
      <c r="J78" s="186">
        <v>715</v>
      </c>
      <c r="K78" s="188">
        <v>0.7801893182650612</v>
      </c>
      <c r="M78" s="185">
        <v>447</v>
      </c>
      <c r="N78" s="185">
        <v>0.418</v>
      </c>
      <c r="P78" s="186">
        <v>715</v>
      </c>
      <c r="Q78" s="185" t="e">
        <f t="shared" si="22"/>
        <v>#N/A</v>
      </c>
      <c r="T78" s="185">
        <v>457</v>
      </c>
      <c r="U78" s="185">
        <v>0.71306321820911</v>
      </c>
      <c r="W78" s="186">
        <v>715</v>
      </c>
      <c r="Z78" s="186">
        <v>715</v>
      </c>
      <c r="AA78" s="185">
        <f t="shared" si="23"/>
        <v>1.709771668164912E-05</v>
      </c>
      <c r="AB78" s="185">
        <f t="shared" si="24"/>
        <v>1.439763266449229E-06</v>
      </c>
      <c r="AC78" s="185">
        <f t="shared" si="25"/>
        <v>6.362160909056655E-08</v>
      </c>
      <c r="AD78" s="185">
        <f t="shared" si="26"/>
        <v>1.0471138157332673E-08</v>
      </c>
      <c r="AE78" s="185">
        <f t="shared" si="27"/>
        <v>5.433752385089162E-11</v>
      </c>
      <c r="AF78" s="185">
        <f t="shared" si="28"/>
        <v>1.3887766025416428E-05</v>
      </c>
      <c r="AG78" s="185" t="e">
        <f t="shared" si="29"/>
        <v>#N/A</v>
      </c>
      <c r="AH78" s="185" t="e">
        <f t="shared" si="30"/>
        <v>#N/A</v>
      </c>
    </row>
    <row r="79" spans="2:34" ht="13.5">
      <c r="B79" s="186">
        <v>720</v>
      </c>
      <c r="C79" s="188">
        <v>1.1940393077322306E-05</v>
      </c>
      <c r="D79" s="188">
        <v>1.0156361966712335E-06</v>
      </c>
      <c r="E79" s="188">
        <v>4.585844117425954E-08</v>
      </c>
      <c r="F79" s="188">
        <v>7.630176974972949E-09</v>
      </c>
      <c r="G79" s="188">
        <v>4.126103552206477E-11</v>
      </c>
      <c r="H79" s="188">
        <v>0.001047</v>
      </c>
      <c r="J79" s="186">
        <v>720</v>
      </c>
      <c r="K79" s="188">
        <v>0.7812679345516048</v>
      </c>
      <c r="M79" s="185">
        <v>448</v>
      </c>
      <c r="N79" s="185">
        <v>0.431</v>
      </c>
      <c r="P79" s="186">
        <v>720</v>
      </c>
      <c r="Q79" s="185" t="e">
        <f t="shared" si="22"/>
        <v>#N/A</v>
      </c>
      <c r="T79" s="185">
        <v>458</v>
      </c>
      <c r="U79" s="185">
        <v>0.7280461786525454</v>
      </c>
      <c r="W79" s="186">
        <v>720</v>
      </c>
      <c r="Z79" s="186">
        <v>720</v>
      </c>
      <c r="AA79" s="185">
        <f t="shared" si="23"/>
        <v>1.1940393077322306E-05</v>
      </c>
      <c r="AB79" s="185">
        <f t="shared" si="24"/>
        <v>1.0156361966712332E-06</v>
      </c>
      <c r="AC79" s="185">
        <f t="shared" si="25"/>
        <v>4.5858441174259557E-08</v>
      </c>
      <c r="AD79" s="185">
        <f t="shared" si="26"/>
        <v>7.630176974972944E-09</v>
      </c>
      <c r="AE79" s="185">
        <f t="shared" si="27"/>
        <v>4.1261035522064754E-11</v>
      </c>
      <c r="AF79" s="185">
        <f t="shared" si="28"/>
        <v>9.798174547581536E-06</v>
      </c>
      <c r="AG79" s="185" t="e">
        <f t="shared" si="29"/>
        <v>#N/A</v>
      </c>
      <c r="AH79" s="185" t="e">
        <f t="shared" si="30"/>
        <v>#N/A</v>
      </c>
    </row>
    <row r="80" spans="2:34" ht="13.5">
      <c r="B80" s="186">
        <v>725</v>
      </c>
      <c r="C80" s="188">
        <v>8.361406382035472E-06</v>
      </c>
      <c r="D80" s="188">
        <v>7.195131764198693E-07</v>
      </c>
      <c r="E80" s="188">
        <v>3.319756075087529E-08</v>
      </c>
      <c r="F80" s="188">
        <v>5.58334409183366E-09</v>
      </c>
      <c r="G80" s="188">
        <v>3.1445540469767834E-11</v>
      </c>
      <c r="H80" s="188">
        <v>0.00074</v>
      </c>
      <c r="J80" s="186">
        <v>725</v>
      </c>
      <c r="K80" s="188">
        <v>0.7821679204756052</v>
      </c>
      <c r="M80" s="185">
        <v>449</v>
      </c>
      <c r="N80" s="185">
        <v>0.443</v>
      </c>
      <c r="P80" s="186">
        <v>725</v>
      </c>
      <c r="Q80" s="185" t="e">
        <f t="shared" si="22"/>
        <v>#N/A</v>
      </c>
      <c r="T80" s="185">
        <v>459</v>
      </c>
      <c r="U80" s="185">
        <v>0.7431400809120132</v>
      </c>
      <c r="W80" s="186">
        <v>725</v>
      </c>
      <c r="Z80" s="186">
        <v>725</v>
      </c>
      <c r="AA80" s="185">
        <f t="shared" si="23"/>
        <v>8.361406382035472E-06</v>
      </c>
      <c r="AB80" s="185">
        <f t="shared" si="24"/>
        <v>7.19513176419869E-07</v>
      </c>
      <c r="AC80" s="185">
        <f t="shared" si="25"/>
        <v>3.31975607508753E-08</v>
      </c>
      <c r="AD80" s="185">
        <f t="shared" si="26"/>
        <v>5.583344091833657E-09</v>
      </c>
      <c r="AE80" s="185">
        <f t="shared" si="27"/>
        <v>3.144554046976782E-11</v>
      </c>
      <c r="AF80" s="185">
        <f t="shared" si="28"/>
        <v>6.925166346905766E-06</v>
      </c>
      <c r="AG80" s="185" t="e">
        <f t="shared" si="29"/>
        <v>#N/A</v>
      </c>
      <c r="AH80" s="185" t="e">
        <f t="shared" si="30"/>
        <v>#N/A</v>
      </c>
    </row>
    <row r="81" spans="2:34" ht="13.5">
      <c r="B81" s="186">
        <v>730</v>
      </c>
      <c r="C81" s="188">
        <v>5.874624686881622E-06</v>
      </c>
      <c r="D81" s="188">
        <v>5.120197044194725E-07</v>
      </c>
      <c r="E81" s="188">
        <v>2.4139493935925313E-08</v>
      </c>
      <c r="F81" s="188">
        <v>4.103314490823658E-09</v>
      </c>
      <c r="G81" s="188">
        <v>2.405585302018795E-11</v>
      </c>
      <c r="H81" s="188">
        <v>0.00052</v>
      </c>
      <c r="J81" s="186">
        <v>730</v>
      </c>
      <c r="K81" s="188">
        <v>0.7830689431433752</v>
      </c>
      <c r="M81" s="185">
        <v>450</v>
      </c>
      <c r="N81" s="185">
        <v>0.455</v>
      </c>
      <c r="P81" s="186">
        <v>730</v>
      </c>
      <c r="Q81" s="185" t="e">
        <f t="shared" si="22"/>
        <v>#N/A</v>
      </c>
      <c r="T81" s="185">
        <v>460</v>
      </c>
      <c r="U81" s="185">
        <v>0.758282827315111</v>
      </c>
      <c r="W81" s="186">
        <v>730</v>
      </c>
      <c r="Z81" s="186">
        <v>730</v>
      </c>
      <c r="AA81" s="185">
        <f t="shared" si="23"/>
        <v>5.874624686881622E-06</v>
      </c>
      <c r="AB81" s="185">
        <f t="shared" si="24"/>
        <v>5.120197044194724E-07</v>
      </c>
      <c r="AC81" s="185">
        <f t="shared" si="25"/>
        <v>2.4139493935925323E-08</v>
      </c>
      <c r="AD81" s="185">
        <f t="shared" si="26"/>
        <v>4.103314490823656E-09</v>
      </c>
      <c r="AE81" s="185">
        <f t="shared" si="27"/>
        <v>2.405585302018794E-11</v>
      </c>
      <c r="AF81" s="185">
        <f t="shared" si="28"/>
        <v>4.866333108636484E-06</v>
      </c>
      <c r="AG81" s="185" t="e">
        <f t="shared" si="29"/>
        <v>#N/A</v>
      </c>
      <c r="AH81" s="185" t="e">
        <f t="shared" si="30"/>
        <v>#N/A</v>
      </c>
    </row>
    <row r="82" spans="2:34" ht="13.5">
      <c r="B82" s="186">
        <v>735</v>
      </c>
      <c r="C82" s="188">
        <v>4.141784947882912E-06</v>
      </c>
      <c r="D82" s="188">
        <v>3.659473888264467E-07</v>
      </c>
      <c r="E82" s="188">
        <v>1.762781132369637E-08</v>
      </c>
      <c r="F82" s="188">
        <v>3.028086166560333E-09</v>
      </c>
      <c r="G82" s="188">
        <v>1.8468993255999716E-11</v>
      </c>
      <c r="H82" s="188">
        <v>0.0003611</v>
      </c>
      <c r="J82" s="186">
        <v>735</v>
      </c>
      <c r="K82" s="188">
        <v>0.7838807509473372</v>
      </c>
      <c r="M82" s="185">
        <v>451</v>
      </c>
      <c r="N82" s="185">
        <v>0.467</v>
      </c>
      <c r="P82" s="186">
        <v>735</v>
      </c>
      <c r="Q82" s="185" t="e">
        <f t="shared" si="22"/>
        <v>#N/A</v>
      </c>
      <c r="T82" s="185">
        <v>461</v>
      </c>
      <c r="U82" s="185">
        <v>0.7734252475840022</v>
      </c>
      <c r="W82" s="186">
        <v>735</v>
      </c>
      <c r="Z82" s="186">
        <v>735</v>
      </c>
      <c r="AA82" s="185">
        <f t="shared" si="23"/>
        <v>4.141784947882912E-06</v>
      </c>
      <c r="AB82" s="185">
        <f t="shared" si="24"/>
        <v>3.6594738882644657E-07</v>
      </c>
      <c r="AC82" s="185">
        <f t="shared" si="25"/>
        <v>1.7627811323696377E-08</v>
      </c>
      <c r="AD82" s="185">
        <f t="shared" si="26"/>
        <v>3.028086166560331E-09</v>
      </c>
      <c r="AE82" s="185">
        <f t="shared" si="27"/>
        <v>1.8468993255999706E-11</v>
      </c>
      <c r="AF82" s="185">
        <f t="shared" si="28"/>
        <v>3.379294010631989E-06</v>
      </c>
      <c r="AG82" s="185" t="e">
        <f t="shared" si="29"/>
        <v>#N/A</v>
      </c>
      <c r="AH82" s="185" t="e">
        <f t="shared" si="30"/>
        <v>#N/A</v>
      </c>
    </row>
    <row r="83" spans="2:34" ht="13.5">
      <c r="B83" s="186">
        <v>740</v>
      </c>
      <c r="C83" s="188">
        <v>2.9311244503509378E-06</v>
      </c>
      <c r="D83" s="188">
        <v>2.627036599959928E-07</v>
      </c>
      <c r="E83" s="188">
        <v>1.2927973428196939E-08</v>
      </c>
      <c r="F83" s="188">
        <v>2.2439227183634306E-09</v>
      </c>
      <c r="G83" s="188">
        <v>1.423121879550138E-11</v>
      </c>
      <c r="H83" s="188">
        <v>0.0002492</v>
      </c>
      <c r="J83" s="186">
        <v>740</v>
      </c>
      <c r="K83" s="188">
        <v>0.7846934003526888</v>
      </c>
      <c r="M83" s="185">
        <v>452</v>
      </c>
      <c r="N83" s="185">
        <v>0.479</v>
      </c>
      <c r="P83" s="186">
        <v>740</v>
      </c>
      <c r="Q83" s="185" t="e">
        <f t="shared" si="22"/>
        <v>#N/A</v>
      </c>
      <c r="T83" s="185">
        <v>462</v>
      </c>
      <c r="U83" s="185">
        <v>0.7883694075578888</v>
      </c>
      <c r="W83" s="186">
        <v>740</v>
      </c>
      <c r="Z83" s="186">
        <v>740</v>
      </c>
      <c r="AA83" s="185">
        <f t="shared" si="23"/>
        <v>2.9311244503509378E-06</v>
      </c>
      <c r="AB83" s="185">
        <f t="shared" si="24"/>
        <v>2.6270365999599277E-07</v>
      </c>
      <c r="AC83" s="185">
        <f t="shared" si="25"/>
        <v>1.2927973428196944E-08</v>
      </c>
      <c r="AD83" s="185">
        <f t="shared" si="26"/>
        <v>2.243922718363429E-09</v>
      </c>
      <c r="AE83" s="185">
        <f t="shared" si="27"/>
        <v>1.4231218795501373E-11</v>
      </c>
      <c r="AF83" s="185">
        <f t="shared" si="28"/>
        <v>2.3320965589850228E-06</v>
      </c>
      <c r="AG83" s="185" t="e">
        <f t="shared" si="29"/>
        <v>#N/A</v>
      </c>
      <c r="AH83" s="185" t="e">
        <f t="shared" si="30"/>
        <v>#N/A</v>
      </c>
    </row>
    <row r="84" spans="2:34" ht="13.5">
      <c r="B84" s="186">
        <v>745</v>
      </c>
      <c r="C84" s="188">
        <v>2.0822201013735895E-06</v>
      </c>
      <c r="D84" s="188">
        <v>1.893898336965233E-07</v>
      </c>
      <c r="E84" s="188">
        <v>9.520032985676389E-09</v>
      </c>
      <c r="F84" s="188">
        <v>1.6694287081050718E-09</v>
      </c>
      <c r="G84" s="188">
        <v>1.1003632686189881E-11</v>
      </c>
      <c r="H84" s="188">
        <v>0.0001719</v>
      </c>
      <c r="J84" s="186">
        <v>745</v>
      </c>
      <c r="K84" s="188">
        <v>0.7854164626145403</v>
      </c>
      <c r="M84" s="185">
        <v>453</v>
      </c>
      <c r="N84" s="185">
        <v>0.49</v>
      </c>
      <c r="P84" s="186">
        <v>745</v>
      </c>
      <c r="Q84" s="185" t="e">
        <f t="shared" si="22"/>
        <v>#N/A</v>
      </c>
      <c r="T84" s="185">
        <v>463</v>
      </c>
      <c r="U84" s="185">
        <v>0.8029214562786621</v>
      </c>
      <c r="W84" s="186">
        <v>745</v>
      </c>
      <c r="Z84" s="186">
        <v>745</v>
      </c>
      <c r="AA84" s="185">
        <f t="shared" si="23"/>
        <v>2.0822201013735895E-06</v>
      </c>
      <c r="AB84" s="185">
        <f t="shared" si="24"/>
        <v>1.8938983369652325E-07</v>
      </c>
      <c r="AC84" s="185">
        <f t="shared" si="25"/>
        <v>9.520032985676394E-09</v>
      </c>
      <c r="AD84" s="185">
        <f t="shared" si="26"/>
        <v>1.6694287081050708E-09</v>
      </c>
      <c r="AE84" s="185">
        <f t="shared" si="27"/>
        <v>1.1003632686189876E-11</v>
      </c>
      <c r="AF84" s="185">
        <f t="shared" si="28"/>
        <v>1.608697425720407E-06</v>
      </c>
      <c r="AG84" s="185" t="e">
        <f t="shared" si="29"/>
        <v>#N/A</v>
      </c>
      <c r="AH84" s="185" t="e">
        <f t="shared" si="30"/>
        <v>#N/A</v>
      </c>
    </row>
    <row r="85" spans="2:34" ht="13.5">
      <c r="B85" s="186">
        <v>750</v>
      </c>
      <c r="C85" s="188">
        <v>1.4850830043190809E-06</v>
      </c>
      <c r="D85" s="188">
        <v>1.3712450178846358E-07</v>
      </c>
      <c r="E85" s="188">
        <v>7.0394241567482575E-09</v>
      </c>
      <c r="F85" s="188">
        <v>1.2469903660118662E-09</v>
      </c>
      <c r="G85" s="188">
        <v>8.53775615549406E-12</v>
      </c>
      <c r="H85" s="188">
        <v>0.00012</v>
      </c>
      <c r="J85" s="186">
        <v>750</v>
      </c>
      <c r="K85" s="188">
        <v>0.7861401911481285</v>
      </c>
      <c r="M85" s="185">
        <v>454</v>
      </c>
      <c r="N85" s="185">
        <v>0.502</v>
      </c>
      <c r="P85" s="186">
        <v>750</v>
      </c>
      <c r="Q85" s="185" t="e">
        <f t="shared" si="22"/>
        <v>#N/A</v>
      </c>
      <c r="T85" s="185">
        <v>464</v>
      </c>
      <c r="U85" s="185">
        <v>0.8168563865102587</v>
      </c>
      <c r="W85" s="186">
        <v>750</v>
      </c>
      <c r="Z85" s="186">
        <v>750</v>
      </c>
      <c r="AA85" s="185">
        <f t="shared" si="23"/>
        <v>1.4850830043190809E-06</v>
      </c>
      <c r="AB85" s="185">
        <f t="shared" si="24"/>
        <v>1.3712450178846355E-07</v>
      </c>
      <c r="AC85" s="185">
        <f t="shared" si="25"/>
        <v>7.039424156748261E-09</v>
      </c>
      <c r="AD85" s="185">
        <f t="shared" si="26"/>
        <v>1.2469903660118654E-09</v>
      </c>
      <c r="AE85" s="185">
        <f t="shared" si="27"/>
        <v>8.537756155494057E-12</v>
      </c>
      <c r="AF85" s="185">
        <f t="shared" si="28"/>
        <v>1.122999948146881E-06</v>
      </c>
      <c r="AG85" s="185" t="e">
        <f t="shared" si="29"/>
        <v>#N/A</v>
      </c>
      <c r="AH85" s="185" t="e">
        <f t="shared" si="30"/>
        <v>#N/A</v>
      </c>
    </row>
    <row r="86" spans="2:34" ht="13.5">
      <c r="B86" s="186">
        <v>755</v>
      </c>
      <c r="C86" s="188">
        <v>1.0631069515463142E-06</v>
      </c>
      <c r="D86" s="188">
        <v>9.966993027181756E-08</v>
      </c>
      <c r="E86" s="188">
        <v>5.2244658227594334E-09</v>
      </c>
      <c r="F86" s="188">
        <v>9.347798103561518E-10</v>
      </c>
      <c r="G86" s="188">
        <v>6.644881431743584E-12</v>
      </c>
      <c r="H86" s="188">
        <v>8.48E-05</v>
      </c>
      <c r="J86" s="186">
        <v>755</v>
      </c>
      <c r="K86" s="188">
        <v>0.78659286009551</v>
      </c>
      <c r="M86" s="185">
        <v>455</v>
      </c>
      <c r="N86" s="185">
        <v>0.513</v>
      </c>
      <c r="P86" s="186">
        <v>755</v>
      </c>
      <c r="Q86" s="185" t="e">
        <f t="shared" si="22"/>
        <v>#N/A</v>
      </c>
      <c r="T86" s="185">
        <v>465</v>
      </c>
      <c r="U86" s="185">
        <v>0.8298985940364947</v>
      </c>
      <c r="W86" s="186">
        <v>755</v>
      </c>
      <c r="Z86" s="186">
        <v>755</v>
      </c>
      <c r="AA86" s="185">
        <f t="shared" si="23"/>
        <v>1.0631069515463142E-06</v>
      </c>
      <c r="AB86" s="185">
        <f t="shared" si="24"/>
        <v>9.966993027181753E-08</v>
      </c>
      <c r="AC86" s="185">
        <f t="shared" si="25"/>
        <v>5.224465822759436E-09</v>
      </c>
      <c r="AD86" s="185">
        <f t="shared" si="26"/>
        <v>9.347798103561512E-10</v>
      </c>
      <c r="AE86" s="185">
        <f t="shared" si="27"/>
        <v>6.6448814317435805E-12</v>
      </c>
      <c r="AF86" s="185">
        <f t="shared" si="28"/>
        <v>7.935866300237959E-07</v>
      </c>
      <c r="AG86" s="185" t="e">
        <f t="shared" si="29"/>
        <v>#N/A</v>
      </c>
      <c r="AH86" s="185" t="e">
        <f t="shared" si="30"/>
        <v>#N/A</v>
      </c>
    </row>
    <row r="87" spans="2:34" ht="13.5">
      <c r="B87" s="186">
        <v>760</v>
      </c>
      <c r="C87" s="188">
        <v>7.641238649620718E-07</v>
      </c>
      <c r="D87" s="188">
        <v>7.274873317647954E-08</v>
      </c>
      <c r="E87" s="188">
        <v>3.892860350909749E-09</v>
      </c>
      <c r="F87" s="188">
        <v>7.034336717605833E-10</v>
      </c>
      <c r="G87" s="188">
        <v>5.1889911366523805E-12</v>
      </c>
      <c r="H87" s="188">
        <v>6E-05</v>
      </c>
      <c r="J87" s="186">
        <v>760</v>
      </c>
      <c r="K87" s="188">
        <v>0.7870457896950985</v>
      </c>
      <c r="M87" s="185">
        <v>456</v>
      </c>
      <c r="N87" s="185">
        <v>0.524</v>
      </c>
      <c r="P87" s="186">
        <v>760</v>
      </c>
      <c r="Q87" s="185" t="e">
        <f t="shared" si="22"/>
        <v>#N/A</v>
      </c>
      <c r="T87" s="185">
        <v>466</v>
      </c>
      <c r="U87" s="185">
        <v>0.8419149344802989</v>
      </c>
      <c r="W87" s="186">
        <v>760</v>
      </c>
      <c r="Z87" s="186">
        <v>760</v>
      </c>
      <c r="AA87" s="185">
        <f t="shared" si="23"/>
        <v>7.641238649620718E-07</v>
      </c>
      <c r="AB87" s="185">
        <f t="shared" si="24"/>
        <v>7.274873317647952E-08</v>
      </c>
      <c r="AC87" s="185">
        <f t="shared" si="25"/>
        <v>3.8928603509097504E-09</v>
      </c>
      <c r="AD87" s="185">
        <f t="shared" si="26"/>
        <v>7.034336717605828E-10</v>
      </c>
      <c r="AE87" s="185">
        <f t="shared" si="27"/>
        <v>5.188991136652378E-12</v>
      </c>
      <c r="AF87" s="185">
        <f t="shared" si="28"/>
        <v>5.614999740734405E-07</v>
      </c>
      <c r="AG87" s="185" t="e">
        <f t="shared" si="29"/>
        <v>#N/A</v>
      </c>
      <c r="AH87" s="185" t="e">
        <f t="shared" si="30"/>
        <v>#N/A</v>
      </c>
    </row>
    <row r="88" spans="2:34" ht="13.5">
      <c r="B88" s="186">
        <v>765</v>
      </c>
      <c r="C88" s="188">
        <v>5.515189484823531E-07</v>
      </c>
      <c r="D88" s="188">
        <v>5.332361029031608E-08</v>
      </c>
      <c r="E88" s="188">
        <v>2.912290852923266E-09</v>
      </c>
      <c r="F88" s="188">
        <v>5.314005560619409E-10</v>
      </c>
      <c r="G88" s="188">
        <v>4.06588954964832E-12</v>
      </c>
      <c r="H88" s="188">
        <v>4.24E-05</v>
      </c>
      <c r="J88" s="186">
        <v>765</v>
      </c>
      <c r="K88" s="188">
        <v>0.7875896494868464</v>
      </c>
      <c r="M88" s="185">
        <v>457</v>
      </c>
      <c r="N88" s="185">
        <v>0.535</v>
      </c>
      <c r="P88" s="186">
        <v>765</v>
      </c>
      <c r="Q88" s="185" t="e">
        <f t="shared" si="22"/>
        <v>#N/A</v>
      </c>
      <c r="T88" s="185">
        <v>467</v>
      </c>
      <c r="U88" s="185">
        <v>0.853085002319892</v>
      </c>
      <c r="W88" s="186">
        <v>765</v>
      </c>
      <c r="Z88" s="186">
        <v>765</v>
      </c>
      <c r="AA88" s="185">
        <f t="shared" si="23"/>
        <v>5.515189484823531E-07</v>
      </c>
      <c r="AB88" s="185">
        <f t="shared" si="24"/>
        <v>5.3323610290316066E-08</v>
      </c>
      <c r="AC88" s="185">
        <f t="shared" si="25"/>
        <v>2.9122908529232674E-09</v>
      </c>
      <c r="AD88" s="185">
        <f t="shared" si="26"/>
        <v>5.314005560619406E-10</v>
      </c>
      <c r="AE88" s="185">
        <f t="shared" si="27"/>
        <v>4.065889549648318E-12</v>
      </c>
      <c r="AF88" s="185">
        <f t="shared" si="28"/>
        <v>3.9679331501189796E-07</v>
      </c>
      <c r="AG88" s="185" t="e">
        <f t="shared" si="29"/>
        <v>#N/A</v>
      </c>
      <c r="AH88" s="185" t="e">
        <f t="shared" si="30"/>
        <v>#N/A</v>
      </c>
    </row>
    <row r="89" spans="2:34" ht="13.5">
      <c r="B89" s="186">
        <v>770</v>
      </c>
      <c r="C89" s="188">
        <v>3.996771550194829E-07</v>
      </c>
      <c r="D89" s="188">
        <v>3.9243400802342593E-08</v>
      </c>
      <c r="E89" s="188">
        <v>2.187042400233776E-09</v>
      </c>
      <c r="F89" s="188">
        <v>4.0292489339031173E-10</v>
      </c>
      <c r="G89" s="188">
        <v>3.1961593954578584E-12</v>
      </c>
      <c r="H89" s="188">
        <v>3E-05</v>
      </c>
      <c r="J89" s="186">
        <v>770</v>
      </c>
      <c r="K89" s="188">
        <v>0.788133885093416</v>
      </c>
      <c r="M89" s="185">
        <v>458</v>
      </c>
      <c r="N89" s="185">
        <v>0.546</v>
      </c>
      <c r="P89" s="186">
        <v>770</v>
      </c>
      <c r="Q89" s="185" t="e">
        <f t="shared" si="22"/>
        <v>#N/A</v>
      </c>
      <c r="T89" s="185">
        <v>468</v>
      </c>
      <c r="U89" s="185">
        <v>0.8636826653005477</v>
      </c>
      <c r="W89" s="186">
        <v>770</v>
      </c>
      <c r="Z89" s="186">
        <v>770</v>
      </c>
      <c r="AA89" s="185">
        <f t="shared" si="23"/>
        <v>3.996771550194829E-07</v>
      </c>
      <c r="AB89" s="185">
        <f t="shared" si="24"/>
        <v>3.924340080234259E-08</v>
      </c>
      <c r="AC89" s="185">
        <f t="shared" si="25"/>
        <v>2.187042400233777E-09</v>
      </c>
      <c r="AD89" s="185">
        <f t="shared" si="26"/>
        <v>4.0292489339031147E-10</v>
      </c>
      <c r="AE89" s="185">
        <f t="shared" si="27"/>
        <v>3.1961593954578568E-12</v>
      </c>
      <c r="AF89" s="185">
        <f t="shared" si="28"/>
        <v>2.8074998703672023E-07</v>
      </c>
      <c r="AG89" s="185" t="e">
        <f t="shared" si="29"/>
        <v>#N/A</v>
      </c>
      <c r="AH89" s="185" t="e">
        <f t="shared" si="30"/>
        <v>#N/A</v>
      </c>
    </row>
    <row r="90" spans="2:34" ht="13.5">
      <c r="B90" s="186">
        <v>775</v>
      </c>
      <c r="C90" s="188">
        <v>2.9076861094272463E-07</v>
      </c>
      <c r="D90" s="188">
        <v>2.899256504910789E-08</v>
      </c>
      <c r="E90" s="188">
        <v>1.648369119111433E-09</v>
      </c>
      <c r="F90" s="188">
        <v>3.065832661257035E-10</v>
      </c>
      <c r="G90" s="188">
        <v>2.5200943693587616E-12</v>
      </c>
      <c r="H90" s="188">
        <v>2.12E-05</v>
      </c>
      <c r="J90" s="186">
        <v>775</v>
      </c>
      <c r="K90" s="188">
        <v>0.7885877020336743</v>
      </c>
      <c r="M90" s="185">
        <v>459</v>
      </c>
      <c r="N90" s="185">
        <v>0.557</v>
      </c>
      <c r="P90" s="186">
        <v>775</v>
      </c>
      <c r="Q90" s="185" t="e">
        <f t="shared" si="22"/>
        <v>#N/A</v>
      </c>
      <c r="T90" s="185">
        <v>469</v>
      </c>
      <c r="U90" s="185">
        <v>0.8740587837163254</v>
      </c>
      <c r="W90" s="186">
        <v>775</v>
      </c>
      <c r="Z90" s="186">
        <v>775</v>
      </c>
      <c r="AA90" s="185">
        <f t="shared" si="23"/>
        <v>2.9076861094272463E-07</v>
      </c>
      <c r="AB90" s="185">
        <f t="shared" si="24"/>
        <v>2.8992565049107884E-08</v>
      </c>
      <c r="AC90" s="185">
        <f t="shared" si="25"/>
        <v>1.6483691191114339E-09</v>
      </c>
      <c r="AD90" s="185">
        <f t="shared" si="26"/>
        <v>3.065832661257033E-10</v>
      </c>
      <c r="AE90" s="185">
        <f t="shared" si="27"/>
        <v>2.5200943693587604E-12</v>
      </c>
      <c r="AF90" s="185">
        <f t="shared" si="28"/>
        <v>1.9839665750594898E-07</v>
      </c>
      <c r="AG90" s="185" t="e">
        <f t="shared" si="29"/>
        <v>#N/A</v>
      </c>
      <c r="AH90" s="185" t="e">
        <f t="shared" si="30"/>
        <v>#N/A</v>
      </c>
    </row>
    <row r="91" spans="2:34" ht="13.5">
      <c r="B91" s="186">
        <v>780</v>
      </c>
      <c r="C91" s="188">
        <v>2.1237734683635547E-07</v>
      </c>
      <c r="D91" s="188">
        <v>2.150302144165534E-08</v>
      </c>
      <c r="E91" s="188">
        <v>1.246940007187407E-09</v>
      </c>
      <c r="F91" s="188">
        <v>2.3410722709226746E-10</v>
      </c>
      <c r="G91" s="188">
        <v>1.993200656761528E-12</v>
      </c>
      <c r="H91" s="188">
        <v>1.499E-05</v>
      </c>
      <c r="J91" s="186">
        <v>780</v>
      </c>
      <c r="K91" s="188">
        <v>0.789041780287168</v>
      </c>
      <c r="M91" s="185">
        <v>460</v>
      </c>
      <c r="N91" s="185">
        <v>0.567</v>
      </c>
      <c r="P91" s="186">
        <v>780</v>
      </c>
      <c r="Q91" s="185" t="e">
        <f t="shared" si="22"/>
        <v>#N/A</v>
      </c>
      <c r="T91" s="185">
        <v>470</v>
      </c>
      <c r="U91" s="185">
        <v>0.8845007486464679</v>
      </c>
      <c r="W91" s="186">
        <v>780</v>
      </c>
      <c r="Z91" s="186">
        <v>780</v>
      </c>
      <c r="AA91" s="185">
        <f t="shared" si="23"/>
        <v>2.1237734683635547E-07</v>
      </c>
      <c r="AB91" s="185">
        <f t="shared" si="24"/>
        <v>2.1503021441655338E-08</v>
      </c>
      <c r="AC91" s="185">
        <f t="shared" si="25"/>
        <v>1.2469400071874075E-09</v>
      </c>
      <c r="AD91" s="185">
        <f t="shared" si="26"/>
        <v>2.341072270922673E-10</v>
      </c>
      <c r="AE91" s="185">
        <f t="shared" si="27"/>
        <v>1.993200656761527E-12</v>
      </c>
      <c r="AF91" s="185">
        <f t="shared" si="28"/>
        <v>1.4028141018934788E-07</v>
      </c>
      <c r="AG91" s="185" t="e">
        <f t="shared" si="29"/>
        <v>#N/A</v>
      </c>
      <c r="AH91" s="185" t="e">
        <f t="shared" si="30"/>
        <v>#N/A</v>
      </c>
    </row>
    <row r="92" spans="13:21" ht="13.5">
      <c r="M92" s="185">
        <v>461</v>
      </c>
      <c r="N92" s="185">
        <v>0.578</v>
      </c>
      <c r="T92" s="185">
        <v>471</v>
      </c>
      <c r="U92" s="185">
        <v>0.895268526883636</v>
      </c>
    </row>
    <row r="93" spans="1:21" ht="13.5">
      <c r="A93" s="192" t="s">
        <v>156</v>
      </c>
      <c r="M93" s="185">
        <v>462</v>
      </c>
      <c r="N93" s="185">
        <v>0.588</v>
      </c>
      <c r="T93" s="185">
        <v>472</v>
      </c>
      <c r="U93" s="185">
        <v>0.9062170814184692</v>
      </c>
    </row>
  </sheetData>
  <sheetProtection password="D0DA" sheet="1" objects="1" scenarios="1"/>
  <printOptions/>
  <pageMargins left="0.7086614173228347" right="0.7086614173228347" top="0.7480314960629921" bottom="0.7480314960629921" header="0.31496062992125984" footer="0.31496062992125984"/>
  <pageSetup horizontalDpi="600" verticalDpi="600" orientation="portrait" paperSize="9"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speirson</dc:creator>
  <cp:keywords/>
  <dc:description/>
  <cp:lastModifiedBy>Robert Lucas</cp:lastModifiedBy>
  <cp:lastPrinted>2013-07-25T09:49:52Z</cp:lastPrinted>
  <dcterms:created xsi:type="dcterms:W3CDTF">2009-09-10T14:18:17Z</dcterms:created>
  <dcterms:modified xsi:type="dcterms:W3CDTF">2013-11-27T17:06:10Z</dcterms:modified>
  <cp:category/>
  <cp:version/>
  <cp:contentType/>
  <cp:contentStatus/>
</cp:coreProperties>
</file>