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Y:\Catering\Alison\HR\Payspines\2425\"/>
    </mc:Choice>
  </mc:AlternateContent>
  <xr:revisionPtr revIDLastSave="0" documentId="8_{A7C94CE4-1A54-4914-9C86-ECA7C4C4C3B6}" xr6:coauthVersionLast="47" xr6:coauthVersionMax="47" xr10:uidLastSave="{00000000-0000-0000-0000-000000000000}"/>
  <bookViews>
    <workbookView xWindow="-120" yWindow="-120" windowWidth="29040" windowHeight="15720" xr2:uid="{90C09A09-3B3A-4239-B9E9-153B14C4C3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7" i="1" l="1"/>
  <c r="Q37" i="1" s="1"/>
  <c r="O37" i="1"/>
  <c r="N37" i="1" s="1"/>
  <c r="J37" i="1"/>
  <c r="K37" i="1" s="1"/>
  <c r="E37" i="1"/>
  <c r="Q36" i="1"/>
  <c r="W36" i="1" s="1"/>
  <c r="V36" i="1" s="1"/>
  <c r="P36" i="1"/>
  <c r="O36" i="1"/>
  <c r="N36" i="1" s="1"/>
  <c r="J36" i="1"/>
  <c r="K36" i="1" s="1"/>
  <c r="E36" i="1"/>
  <c r="W35" i="1"/>
  <c r="V35" i="1" s="1"/>
  <c r="Q35" i="1"/>
  <c r="U35" i="1" s="1"/>
  <c r="T35" i="1" s="1"/>
  <c r="P35" i="1"/>
  <c r="O35" i="1"/>
  <c r="N35" i="1" s="1"/>
  <c r="K35" i="1"/>
  <c r="J35" i="1"/>
  <c r="E35" i="1"/>
  <c r="P34" i="1"/>
  <c r="Q34" i="1" s="1"/>
  <c r="O34" i="1"/>
  <c r="N34" i="1" s="1"/>
  <c r="J34" i="1"/>
  <c r="K34" i="1" s="1"/>
  <c r="E34" i="1"/>
  <c r="P33" i="1"/>
  <c r="Q33" i="1" s="1"/>
  <c r="O33" i="1"/>
  <c r="N33" i="1" s="1"/>
  <c r="K33" i="1"/>
  <c r="J33" i="1"/>
  <c r="E33" i="1"/>
  <c r="P32" i="1"/>
  <c r="Q32" i="1" s="1"/>
  <c r="O32" i="1"/>
  <c r="N32" i="1"/>
  <c r="K32" i="1"/>
  <c r="J32" i="1"/>
  <c r="E32" i="1"/>
  <c r="Q31" i="1"/>
  <c r="U31" i="1" s="1"/>
  <c r="T31" i="1" s="1"/>
  <c r="P31" i="1"/>
  <c r="N31" i="1"/>
  <c r="J31" i="1"/>
  <c r="K31" i="1" s="1"/>
  <c r="E31" i="1"/>
  <c r="W30" i="1"/>
  <c r="V30" i="1" s="1"/>
  <c r="U30" i="1"/>
  <c r="T30" i="1" s="1"/>
  <c r="Q30" i="1"/>
  <c r="P30" i="1"/>
  <c r="N30" i="1"/>
  <c r="J30" i="1"/>
  <c r="K30" i="1" s="1"/>
  <c r="E30" i="1"/>
  <c r="W29" i="1"/>
  <c r="V29" i="1" s="1"/>
  <c r="Q29" i="1"/>
  <c r="U29" i="1" s="1"/>
  <c r="T29" i="1" s="1"/>
  <c r="P29" i="1"/>
  <c r="N29" i="1"/>
  <c r="J29" i="1"/>
  <c r="K29" i="1" s="1"/>
  <c r="E29" i="1"/>
  <c r="Q28" i="1"/>
  <c r="W28" i="1" s="1"/>
  <c r="V28" i="1" s="1"/>
  <c r="P28" i="1"/>
  <c r="N28" i="1"/>
  <c r="K28" i="1"/>
  <c r="J28" i="1"/>
  <c r="E28" i="1"/>
  <c r="Q27" i="1"/>
  <c r="U27" i="1" s="1"/>
  <c r="T27" i="1" s="1"/>
  <c r="P27" i="1"/>
  <c r="N27" i="1"/>
  <c r="J27" i="1"/>
  <c r="K27" i="1" s="1"/>
  <c r="E27" i="1"/>
  <c r="W26" i="1"/>
  <c r="V26" i="1" s="1"/>
  <c r="U26" i="1"/>
  <c r="T26" i="1" s="1"/>
  <c r="Q26" i="1"/>
  <c r="P26" i="1"/>
  <c r="N26" i="1"/>
  <c r="J26" i="1"/>
  <c r="K26" i="1" s="1"/>
  <c r="F26" i="1"/>
  <c r="E26" i="1"/>
  <c r="Q25" i="1"/>
  <c r="U25" i="1" s="1"/>
  <c r="P25" i="1"/>
  <c r="N25" i="1"/>
  <c r="K25" i="1"/>
  <c r="J25" i="1"/>
  <c r="E25" i="1"/>
  <c r="Q24" i="1"/>
  <c r="U24" i="1" s="1"/>
  <c r="P24" i="1"/>
  <c r="N24" i="1"/>
  <c r="J24" i="1"/>
  <c r="K24" i="1" s="1"/>
  <c r="E24" i="1"/>
  <c r="U23" i="1"/>
  <c r="W23" i="1" s="1"/>
  <c r="V23" i="1" s="1"/>
  <c r="Q23" i="1"/>
  <c r="P23" i="1"/>
  <c r="N23" i="1" a="1"/>
  <c r="N23" i="1" s="1"/>
  <c r="K23" i="1"/>
  <c r="J23" i="1"/>
  <c r="E23" i="1"/>
  <c r="G26" i="1" s="1"/>
  <c r="P22" i="1"/>
  <c r="Q22" i="1" s="1"/>
  <c r="U22" i="1" s="1"/>
  <c r="O22" i="1"/>
  <c r="N22" i="1"/>
  <c r="K22" i="1"/>
  <c r="J22" i="1"/>
  <c r="E22" i="1"/>
  <c r="Q21" i="1"/>
  <c r="U21" i="1" s="1"/>
  <c r="P21" i="1"/>
  <c r="N21" i="1"/>
  <c r="J21" i="1"/>
  <c r="K21" i="1" s="1"/>
  <c r="E21" i="1"/>
  <c r="U20" i="1"/>
  <c r="W20" i="1" s="1"/>
  <c r="V20" i="1" s="1"/>
  <c r="Q20" i="1"/>
  <c r="P20" i="1"/>
  <c r="N20" i="1"/>
  <c r="J20" i="1"/>
  <c r="K20" i="1" s="1"/>
  <c r="G20" i="1"/>
  <c r="F20" i="1"/>
  <c r="E20" i="1"/>
  <c r="P19" i="1"/>
  <c r="Q19" i="1" s="1"/>
  <c r="U19" i="1" s="1"/>
  <c r="N19" i="1"/>
  <c r="K19" i="1"/>
  <c r="J19" i="1"/>
  <c r="E19" i="1"/>
  <c r="Q18" i="1"/>
  <c r="U18" i="1" s="1"/>
  <c r="P18" i="1"/>
  <c r="N18" i="1"/>
  <c r="J18" i="1"/>
  <c r="K18" i="1" s="1"/>
  <c r="E18" i="1"/>
  <c r="U17" i="1"/>
  <c r="W17" i="1" s="1"/>
  <c r="V17" i="1" s="1"/>
  <c r="Q17" i="1"/>
  <c r="P17" i="1"/>
  <c r="N17" i="1"/>
  <c r="J17" i="1"/>
  <c r="K17" i="1" s="1"/>
  <c r="G17" i="1"/>
  <c r="F17" i="1"/>
  <c r="E17" i="1"/>
  <c r="P16" i="1"/>
  <c r="Q16" i="1" s="1"/>
  <c r="U16" i="1" s="1"/>
  <c r="N16" i="1"/>
  <c r="K16" i="1"/>
  <c r="J16" i="1"/>
  <c r="E16" i="1"/>
  <c r="Q15" i="1"/>
  <c r="U15" i="1" s="1"/>
  <c r="P15" i="1"/>
  <c r="N15" i="1"/>
  <c r="J15" i="1"/>
  <c r="K15" i="1" s="1"/>
  <c r="E15" i="1"/>
  <c r="U14" i="1"/>
  <c r="W14" i="1" s="1"/>
  <c r="V14" i="1" s="1"/>
  <c r="Q14" i="1"/>
  <c r="P14" i="1"/>
  <c r="N14" i="1"/>
  <c r="J14" i="1"/>
  <c r="K14" i="1" s="1"/>
  <c r="E14" i="1"/>
  <c r="P13" i="1"/>
  <c r="Q13" i="1" s="1"/>
  <c r="U13" i="1" s="1"/>
  <c r="N13" i="1"/>
  <c r="J13" i="1"/>
  <c r="K13" i="1" s="1"/>
  <c r="E13" i="1"/>
  <c r="P12" i="1"/>
  <c r="Q12" i="1" s="1"/>
  <c r="U12" i="1" s="1"/>
  <c r="N12" i="1"/>
  <c r="K12" i="1"/>
  <c r="J12" i="1"/>
  <c r="E12" i="1"/>
  <c r="S11" i="1"/>
  <c r="U11" i="1" s="1"/>
  <c r="R11" i="1"/>
  <c r="Q11" i="1"/>
  <c r="P11" i="1"/>
  <c r="N11" i="1"/>
  <c r="J11" i="1"/>
  <c r="K11" i="1" s="1"/>
  <c r="E11" i="1"/>
  <c r="P10" i="1"/>
  <c r="R10" i="1" s="1"/>
  <c r="S10" i="1" s="1"/>
  <c r="U10" i="1" s="1"/>
  <c r="N10" i="1"/>
  <c r="K10" i="1"/>
  <c r="J10" i="1"/>
  <c r="E10" i="1"/>
  <c r="S9" i="1"/>
  <c r="U9" i="1" s="1"/>
  <c r="R9" i="1"/>
  <c r="Q9" i="1"/>
  <c r="P9" i="1"/>
  <c r="N9" i="1"/>
  <c r="J9" i="1"/>
  <c r="K9" i="1" s="1"/>
  <c r="E9" i="1"/>
  <c r="P8" i="1"/>
  <c r="Q8" i="1" s="1"/>
  <c r="N8" i="1"/>
  <c r="K8" i="1"/>
  <c r="J8" i="1"/>
  <c r="G8" i="1"/>
  <c r="F8" i="1"/>
  <c r="E8" i="1"/>
  <c r="E7" i="1"/>
  <c r="P6" i="1"/>
  <c r="R6" i="1" s="1"/>
  <c r="S6" i="1" s="1"/>
  <c r="U6" i="1" s="1"/>
  <c r="N6" i="1"/>
  <c r="K6" i="1"/>
  <c r="J6" i="1"/>
  <c r="E6" i="1"/>
  <c r="E5" i="1"/>
  <c r="S4" i="1"/>
  <c r="U4" i="1" s="1"/>
  <c r="R4" i="1"/>
  <c r="P4" i="1"/>
  <c r="Q4" i="1" s="1"/>
  <c r="N4" i="1"/>
  <c r="J4" i="1"/>
  <c r="K4" i="1" s="1"/>
  <c r="I4" i="1"/>
  <c r="S3" i="1"/>
  <c r="U3" i="1" s="1"/>
  <c r="P3" i="1"/>
  <c r="Q3" i="1" s="1"/>
  <c r="N3" i="1"/>
  <c r="K3" i="1"/>
  <c r="J3" i="1"/>
  <c r="I3" i="1"/>
  <c r="G3" i="1"/>
  <c r="F3" i="1"/>
  <c r="E3" i="1"/>
  <c r="W12" i="1" l="1"/>
  <c r="V12" i="1" s="1"/>
  <c r="T12" i="1"/>
  <c r="T18" i="1"/>
  <c r="W18" i="1"/>
  <c r="V18" i="1" s="1"/>
  <c r="T22" i="1"/>
  <c r="W22" i="1"/>
  <c r="V22" i="1" s="1"/>
  <c r="T4" i="1"/>
  <c r="W4" i="1"/>
  <c r="V4" i="1" s="1"/>
  <c r="W11" i="1"/>
  <c r="V11" i="1" s="1"/>
  <c r="T11" i="1"/>
  <c r="W21" i="1"/>
  <c r="V21" i="1" s="1"/>
  <c r="T21" i="1"/>
  <c r="W25" i="1"/>
  <c r="V25" i="1" s="1"/>
  <c r="T25" i="1"/>
  <c r="W33" i="1"/>
  <c r="V33" i="1" s="1"/>
  <c r="U33" i="1"/>
  <c r="T33" i="1" s="1"/>
  <c r="W16" i="1"/>
  <c r="V16" i="1" s="1"/>
  <c r="T16" i="1"/>
  <c r="T3" i="1"/>
  <c r="W3" i="1"/>
  <c r="V3" i="1" s="1"/>
  <c r="T13" i="1"/>
  <c r="W13" i="1"/>
  <c r="V13" i="1" s="1"/>
  <c r="W24" i="1"/>
  <c r="V24" i="1" s="1"/>
  <c r="T24" i="1"/>
  <c r="T6" i="1"/>
  <c r="W6" i="1"/>
  <c r="V6" i="1" s="1"/>
  <c r="T10" i="1"/>
  <c r="W10" i="1"/>
  <c r="V10" i="1" s="1"/>
  <c r="W19" i="1"/>
  <c r="V19" i="1" s="1"/>
  <c r="T19" i="1"/>
  <c r="U32" i="1"/>
  <c r="T32" i="1" s="1"/>
  <c r="W32" i="1"/>
  <c r="V32" i="1" s="1"/>
  <c r="T9" i="1"/>
  <c r="W9" i="1"/>
  <c r="V9" i="1" s="1"/>
  <c r="T15" i="1"/>
  <c r="W15" i="1"/>
  <c r="V15" i="1" s="1"/>
  <c r="W34" i="1"/>
  <c r="V34" i="1" s="1"/>
  <c r="U34" i="1"/>
  <c r="T34" i="1" s="1"/>
  <c r="W37" i="1"/>
  <c r="V37" i="1" s="1"/>
  <c r="U37" i="1"/>
  <c r="T37" i="1" s="1"/>
  <c r="T14" i="1"/>
  <c r="T17" i="1"/>
  <c r="T20" i="1"/>
  <c r="T23" i="1"/>
  <c r="U36" i="1"/>
  <c r="T36" i="1" s="1"/>
  <c r="Q10" i="1"/>
  <c r="Q6" i="1"/>
  <c r="R8" i="1"/>
  <c r="S8" i="1" s="1"/>
  <c r="U8" i="1" s="1"/>
  <c r="W27" i="1"/>
  <c r="V27" i="1" s="1"/>
  <c r="U28" i="1"/>
  <c r="T28" i="1" s="1"/>
  <c r="W31" i="1"/>
  <c r="V31" i="1" s="1"/>
  <c r="T8" i="1" l="1"/>
  <c r="W8" i="1"/>
  <c r="V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Stephens</author>
  </authors>
  <commentList>
    <comment ref="G3" authorId="0" shapeId="0" xr:uid="{0369A776-69E8-456D-B58F-2E5630CFEDDB}">
      <text>
        <r>
          <rPr>
            <b/>
            <sz val="9"/>
            <color indexed="81"/>
            <rFont val="Tahoma"/>
            <family val="2"/>
          </rPr>
          <t>Andrew Stephens:</t>
        </r>
        <r>
          <rPr>
            <sz val="9"/>
            <color indexed="81"/>
            <rFont val="Tahoma"/>
            <family val="2"/>
          </rPr>
          <t xml:space="preserve">
May be impacted at revised proposal to change Spine 4, 3.23% to 1.77% - allowing for the Living wage increase previously implemented </t>
        </r>
      </text>
    </comment>
    <comment ref="H4" authorId="0" shapeId="0" xr:uid="{1D711B59-8EEF-4D8C-A1C6-2FF8EF82D97D}">
      <text>
        <r>
          <rPr>
            <b/>
            <sz val="9"/>
            <color indexed="81"/>
            <rFont val="Tahoma"/>
            <family val="2"/>
          </rPr>
          <t>Andrew Stephens:</t>
        </r>
        <r>
          <rPr>
            <sz val="9"/>
            <color indexed="81"/>
            <rFont val="Tahoma"/>
            <family val="2"/>
          </rPr>
          <t xml:space="preserve">
PROPOSED NEW RATE/SALARY TO MAIINTAIN DIFFERENTIAL WITH SPINE 1 FOLLOWING IMPLEMENTATION OF THE LWF RATE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<sst xmlns="http://schemas.openxmlformats.org/spreadsheetml/2006/main" count="54" uniqueCount="54">
  <si>
    <t>Grade</t>
  </si>
  <si>
    <t>Grade Hourly</t>
  </si>
  <si>
    <t>Grade Annual</t>
  </si>
  <si>
    <t>Spinal Point</t>
  </si>
  <si>
    <t>2021 % change</t>
  </si>
  <si>
    <t>Grade average increase</t>
  </si>
  <si>
    <t>Equivalent % increase</t>
  </si>
  <si>
    <t>Hourly Rate
1 March 2022</t>
  </si>
  <si>
    <t>Annual Rate
1 March 2022</t>
  </si>
  <si>
    <t>Hourly Rate
1 August 2022</t>
  </si>
  <si>
    <t>Annual Rate
1 August 2022</t>
  </si>
  <si>
    <t>Hourly Rate  
01/10/22</t>
  </si>
  <si>
    <t>Annual Rate
01/10/22</t>
  </si>
  <si>
    <t>Hourly Rate  
01/02/23</t>
  </si>
  <si>
    <t>Annual Rate
01/02/23</t>
  </si>
  <si>
    <t>Hourly Rate  
01/08/23</t>
  </si>
  <si>
    <t>Annual Rate
01/08/23</t>
  </si>
  <si>
    <t>Hourly Rate 
2024</t>
  </si>
  <si>
    <t>Annual Rate 
2024</t>
  </si>
  <si>
    <t>Hourly Rate  
01/08/24</t>
  </si>
  <si>
    <t>Annual Rate
01/08/24</t>
  </si>
  <si>
    <t>Hourly Rate  
01/03/25</t>
  </si>
  <si>
    <t>Annual Rate
01/03/25</t>
  </si>
  <si>
    <t>Support 1</t>
  </si>
  <si>
    <t>UMC SUPP1H</t>
  </si>
  <si>
    <t>UMC SUPP1A</t>
  </si>
  <si>
    <t>Support 2</t>
  </si>
  <si>
    <t>UMC SUPP2H</t>
  </si>
  <si>
    <t>UMC SUPP2A</t>
  </si>
  <si>
    <t>Admin Ops 1</t>
  </si>
  <si>
    <t>UMC ADM1H</t>
  </si>
  <si>
    <t xml:space="preserve">UMC ADM1A </t>
  </si>
  <si>
    <t>Admin Ops 2</t>
  </si>
  <si>
    <t>UMC ADM2H</t>
  </si>
  <si>
    <t>UMC ADM2A</t>
  </si>
  <si>
    <t>Admin Ops 3</t>
  </si>
  <si>
    <t>UMC ADM3H</t>
  </si>
  <si>
    <t>UMC ADM3A</t>
  </si>
  <si>
    <t>Admin Ops 4</t>
  </si>
  <si>
    <t>UMC ADM4H</t>
  </si>
  <si>
    <t>UMC ADM4A</t>
  </si>
  <si>
    <t>Mgmt 1</t>
  </si>
  <si>
    <t>UMC MGT1H</t>
  </si>
  <si>
    <t>UMC MGT1A</t>
  </si>
  <si>
    <t>Mgmt 2</t>
  </si>
  <si>
    <t>UMC MGT2H</t>
  </si>
  <si>
    <t>UMC MGT2A</t>
  </si>
  <si>
    <t>Mgmt 3</t>
  </si>
  <si>
    <t>UMC MGT3H</t>
  </si>
  <si>
    <t>UMC MGT3A</t>
  </si>
  <si>
    <t>SMGT</t>
  </si>
  <si>
    <t xml:space="preserve">UMC SMGTH                                                                                               </t>
  </si>
  <si>
    <t xml:space="preserve">UMC SMGTA
&amp;
UMC SMGTSP </t>
  </si>
  <si>
    <t>UMC 40 hpw Pay Scale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</si>
</sst>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164" formatCode="&quot;£&quot;#,##0"/>
    <numFmt numFmtId="165" formatCode="&quot;£&quot;#,##0.00"/>
    <numFmt numFmtId="166" formatCode="0.0000"/>
  </numFmts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rgb="FF0070C0"/>
      <name val="Calibri"/>
      <family val="2"/>
    </font>
    <font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sz val="10"/>
      <color theme="1"/>
      <name val="Arial"/>
      <family val="2"/>
    </font>
    <font>
      <b/>
      <sz val="12"/>
      <name val="Calibri"/>
      <family val="2"/>
    </font>
    <font>
      <b/>
      <sz val="12"/>
      <color theme="0" tint="-0.499984740745262"/>
      <name val="Calibri"/>
      <family val="2"/>
    </font>
    <font>
      <b/>
      <sz val="12"/>
      <color rgb="FF7030A0"/>
      <name val="Calibri"/>
      <family val="2"/>
    </font>
    <font>
      <b/>
      <sz val="12"/>
      <color theme="4" tint="-0.499984740745262"/>
      <name val="Calibri"/>
      <family val="2"/>
    </font>
    <font>
      <b/>
      <sz val="12"/>
      <color theme="3" tint="-0.499984740745262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2"/>
      <color theme="0" tint="-0.499984740745262"/>
      <name val="Calibri"/>
      <family val="2"/>
    </font>
    <font>
      <sz val="12"/>
      <color rgb="FF7030A0"/>
      <name val="Aptos Narrow"/>
      <family val="2"/>
      <scheme val="minor"/>
    </font>
    <font>
      <sz val="12"/>
      <color theme="4" tint="-0.499984740745262"/>
      <name val="Calibri"/>
      <family val="2"/>
    </font>
    <font>
      <sz val="12"/>
      <color theme="3" tint="-0.499984740745262"/>
      <name val="Calibri"/>
      <family val="2"/>
    </font>
    <font>
      <sz val="12"/>
      <color theme="4" tint="-0.499984740745262"/>
      <name val="Aptos Narrow"/>
      <family val="2"/>
      <scheme val="minor"/>
    </font>
    <font>
      <sz val="12"/>
      <color theme="3" tint="-0.499984740745262"/>
      <name val="Aptos Narrow"/>
      <family val="2"/>
      <scheme val="minor"/>
    </font>
    <font>
      <sz val="12"/>
      <name val="Aptos Narrow"/>
      <family val="2"/>
      <scheme val="minor"/>
    </font>
    <font>
      <sz val="12"/>
      <color theme="0" tint="-0.34998626667073579"/>
      <name val="Calibri"/>
      <family val="2"/>
    </font>
    <font>
      <strike/>
      <sz val="12"/>
      <color theme="0" tint="-0.499984740745262"/>
      <name val="Calibri"/>
      <family val="2"/>
    </font>
    <font>
      <sz val="12"/>
      <color rgb="FF7030A0"/>
      <name val="Calibri"/>
      <family val="2"/>
    </font>
    <font>
      <sz val="12"/>
      <color theme="4" tint="-0.249977111117893"/>
      <name val="Calibri"/>
      <family val="2"/>
    </font>
    <font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E4E2EE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ck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ck">
        <color indexed="64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indexed="64"/>
      </left>
      <right style="thick">
        <color indexed="64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9" fontId="5" fillId="0" borderId="0" applyFont="0" applyFill="0" applyBorder="0" applyAlignment="0" applyProtection="0"/>
  </cellStyleXfs>
  <cellXfs count="315">
    <xf numFmtId="0" fontId="0" fillId="0" borderId="0" xfId="0"/>
    <xf numFmtId="0" fontId="4" fillId="0" borderId="0" xfId="0" applyFont="1" applyAlignment="1">
      <alignment wrapText="1"/>
    </xf>
    <xf numFmtId="0" fontId="6" fillId="0" borderId="1" xfId="2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10" fontId="6" fillId="3" borderId="3" xfId="2" applyNumberFormat="1" applyFont="1" applyFill="1" applyBorder="1" applyAlignment="1">
      <alignment horizontal="center" vertical="center" wrapText="1"/>
    </xf>
    <xf numFmtId="164" fontId="7" fillId="0" borderId="1" xfId="2" applyNumberFormat="1" applyFont="1" applyBorder="1" applyAlignment="1">
      <alignment horizontal="center" vertical="center" wrapText="1"/>
    </xf>
    <xf numFmtId="164" fontId="6" fillId="0" borderId="1" xfId="2" applyNumberFormat="1" applyFont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center" vertical="center" wrapText="1"/>
    </xf>
    <xf numFmtId="164" fontId="8" fillId="0" borderId="4" xfId="2" applyNumberFormat="1" applyFont="1" applyBorder="1" applyAlignment="1">
      <alignment horizontal="center" vertical="center" wrapText="1"/>
    </xf>
    <xf numFmtId="165" fontId="9" fillId="0" borderId="1" xfId="2" applyNumberFormat="1" applyFont="1" applyBorder="1" applyAlignment="1">
      <alignment horizontal="center" vertical="center" wrapText="1"/>
    </xf>
    <xf numFmtId="164" fontId="9" fillId="0" borderId="4" xfId="2" applyNumberFormat="1" applyFont="1" applyBorder="1" applyAlignment="1">
      <alignment horizontal="center" vertical="center" wrapText="1"/>
    </xf>
    <xf numFmtId="165" fontId="10" fillId="0" borderId="1" xfId="2" applyNumberFormat="1" applyFont="1" applyBorder="1" applyAlignment="1">
      <alignment horizontal="center" vertical="center" wrapText="1"/>
    </xf>
    <xf numFmtId="164" fontId="10" fillId="0" borderId="4" xfId="2" applyNumberFormat="1" applyFont="1" applyBorder="1" applyAlignment="1">
      <alignment horizontal="center" vertical="center" wrapText="1"/>
    </xf>
    <xf numFmtId="2" fontId="10" fillId="3" borderId="5" xfId="2" applyNumberFormat="1" applyFont="1" applyFill="1" applyBorder="1" applyAlignment="1">
      <alignment horizontal="center" vertical="center" wrapText="1"/>
    </xf>
    <xf numFmtId="1" fontId="10" fillId="3" borderId="5" xfId="2" applyNumberFormat="1" applyFont="1" applyFill="1" applyBorder="1" applyAlignment="1">
      <alignment horizontal="center" vertical="center" wrapText="1"/>
    </xf>
    <xf numFmtId="165" fontId="10" fillId="0" borderId="6" xfId="2" applyNumberFormat="1" applyFont="1" applyBorder="1" applyAlignment="1">
      <alignment horizontal="center" vertical="center" wrapText="1"/>
    </xf>
    <xf numFmtId="164" fontId="10" fillId="0" borderId="6" xfId="2" applyNumberFormat="1" applyFont="1" applyBorder="1" applyAlignment="1">
      <alignment horizontal="center" vertical="center" wrapText="1"/>
    </xf>
    <xf numFmtId="0" fontId="11" fillId="4" borderId="8" xfId="2" applyFont="1" applyFill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center" vertical="center" wrapText="1"/>
    </xf>
    <xf numFmtId="0" fontId="11" fillId="5" borderId="9" xfId="3" applyFont="1" applyFill="1" applyBorder="1" applyAlignment="1">
      <alignment horizontal="center" vertical="center" wrapText="1"/>
    </xf>
    <xf numFmtId="10" fontId="13" fillId="3" borderId="9" xfId="1" applyNumberFormat="1" applyFont="1" applyFill="1" applyBorder="1" applyAlignment="1">
      <alignment horizontal="center" vertical="center" wrapText="1"/>
    </xf>
    <xf numFmtId="166" fontId="11" fillId="3" borderId="9" xfId="2" applyNumberFormat="1" applyFont="1" applyFill="1" applyBorder="1" applyAlignment="1">
      <alignment horizontal="center" vertical="center" wrapText="1"/>
    </xf>
    <xf numFmtId="10" fontId="11" fillId="3" borderId="9" xfId="2" applyNumberFormat="1" applyFont="1" applyFill="1" applyBorder="1" applyAlignment="1">
      <alignment horizontal="center" vertical="center" wrapText="1"/>
    </xf>
    <xf numFmtId="165" fontId="13" fillId="4" borderId="9" xfId="4" applyNumberFormat="1" applyFont="1" applyFill="1" applyBorder="1" applyAlignment="1">
      <alignment horizontal="center" vertical="center" wrapText="1"/>
    </xf>
    <xf numFmtId="164" fontId="13" fillId="4" borderId="9" xfId="4" applyNumberFormat="1" applyFont="1" applyFill="1" applyBorder="1" applyAlignment="1">
      <alignment horizontal="center" vertical="center" wrapText="1"/>
    </xf>
    <xf numFmtId="165" fontId="11" fillId="4" borderId="9" xfId="4" applyNumberFormat="1" applyFont="1" applyFill="1" applyBorder="1" applyAlignment="1">
      <alignment horizontal="center" vertical="center" wrapText="1"/>
    </xf>
    <xf numFmtId="164" fontId="11" fillId="4" borderId="9" xfId="4" applyNumberFormat="1" applyFont="1" applyFill="1" applyBorder="1" applyAlignment="1">
      <alignment horizontal="center" vertical="center" wrapText="1"/>
    </xf>
    <xf numFmtId="8" fontId="14" fillId="4" borderId="10" xfId="0" applyNumberFormat="1" applyFont="1" applyFill="1" applyBorder="1" applyAlignment="1">
      <alignment horizontal="center" vertical="center" wrapText="1"/>
    </xf>
    <xf numFmtId="6" fontId="14" fillId="4" borderId="11" xfId="0" applyNumberFormat="1" applyFont="1" applyFill="1" applyBorder="1" applyAlignment="1">
      <alignment horizontal="center" vertical="center" wrapText="1"/>
    </xf>
    <xf numFmtId="165" fontId="15" fillId="4" borderId="9" xfId="4" applyNumberFormat="1" applyFont="1" applyFill="1" applyBorder="1" applyAlignment="1">
      <alignment horizontal="center" vertical="center" wrapText="1"/>
    </xf>
    <xf numFmtId="164" fontId="15" fillId="4" borderId="11" xfId="4" applyNumberFormat="1" applyFont="1" applyFill="1" applyBorder="1" applyAlignment="1">
      <alignment horizontal="center" vertical="center" wrapText="1"/>
    </xf>
    <xf numFmtId="165" fontId="16" fillId="4" borderId="9" xfId="4" applyNumberFormat="1" applyFont="1" applyFill="1" applyBorder="1" applyAlignment="1">
      <alignment horizontal="center" vertical="center" wrapText="1"/>
    </xf>
    <xf numFmtId="164" fontId="16" fillId="4" borderId="11" xfId="4" applyNumberFormat="1" applyFont="1" applyFill="1" applyBorder="1" applyAlignment="1">
      <alignment horizontal="center" vertical="center" wrapText="1"/>
    </xf>
    <xf numFmtId="2" fontId="16" fillId="3" borderId="12" xfId="4" applyNumberFormat="1" applyFont="1" applyFill="1" applyBorder="1" applyAlignment="1">
      <alignment horizontal="center" vertical="center" wrapText="1"/>
    </xf>
    <xf numFmtId="164" fontId="16" fillId="3" borderId="12" xfId="4" applyNumberFormat="1" applyFont="1" applyFill="1" applyBorder="1" applyAlignment="1">
      <alignment horizontal="center" vertical="center" wrapText="1"/>
    </xf>
    <xf numFmtId="165" fontId="4" fillId="0" borderId="6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11" fillId="6" borderId="8" xfId="2" applyFont="1" applyFill="1" applyBorder="1" applyAlignment="1">
      <alignment horizontal="center" vertical="center" wrapText="1"/>
    </xf>
    <xf numFmtId="0" fontId="11" fillId="6" borderId="9" xfId="2" applyFont="1" applyFill="1" applyBorder="1" applyAlignment="1">
      <alignment horizontal="center" vertical="center" wrapText="1"/>
    </xf>
    <xf numFmtId="0" fontId="11" fillId="5" borderId="9" xfId="3" applyFont="1" applyFill="1" applyBorder="1" applyAlignment="1">
      <alignment horizontal="center" vertical="center" wrapText="1"/>
    </xf>
    <xf numFmtId="166" fontId="4" fillId="3" borderId="9" xfId="0" applyNumberFormat="1" applyFont="1" applyFill="1" applyBorder="1" applyAlignment="1">
      <alignment horizontal="center" vertical="center" wrapText="1"/>
    </xf>
    <xf numFmtId="10" fontId="4" fillId="3" borderId="9" xfId="0" applyNumberFormat="1" applyFont="1" applyFill="1" applyBorder="1" applyAlignment="1">
      <alignment horizontal="center" vertical="center" wrapText="1"/>
    </xf>
    <xf numFmtId="165" fontId="13" fillId="7" borderId="9" xfId="4" applyNumberFormat="1" applyFont="1" applyFill="1" applyBorder="1" applyAlignment="1">
      <alignment horizontal="center" vertical="center" wrapText="1"/>
    </xf>
    <xf numFmtId="164" fontId="13" fillId="7" borderId="9" xfId="4" applyNumberFormat="1" applyFont="1" applyFill="1" applyBorder="1" applyAlignment="1">
      <alignment horizontal="center" vertical="center" wrapText="1"/>
    </xf>
    <xf numFmtId="165" fontId="11" fillId="7" borderId="9" xfId="4" applyNumberFormat="1" applyFont="1" applyFill="1" applyBorder="1" applyAlignment="1">
      <alignment horizontal="center" vertical="center" wrapText="1"/>
    </xf>
    <xf numFmtId="164" fontId="11" fillId="7" borderId="9" xfId="4" applyNumberFormat="1" applyFont="1" applyFill="1" applyBorder="1" applyAlignment="1">
      <alignment horizontal="center" vertical="center" wrapText="1"/>
    </xf>
    <xf numFmtId="8" fontId="14" fillId="7" borderId="13" xfId="0" applyNumberFormat="1" applyFont="1" applyFill="1" applyBorder="1" applyAlignment="1">
      <alignment horizontal="center" vertical="center" wrapText="1"/>
    </xf>
    <xf numFmtId="6" fontId="14" fillId="7" borderId="14" xfId="0" applyNumberFormat="1" applyFont="1" applyFill="1" applyBorder="1" applyAlignment="1">
      <alignment horizontal="center" vertical="center" wrapText="1"/>
    </xf>
    <xf numFmtId="165" fontId="15" fillId="7" borderId="15" xfId="4" applyNumberFormat="1" applyFont="1" applyFill="1" applyBorder="1" applyAlignment="1">
      <alignment horizontal="center" vertical="center" wrapText="1"/>
    </xf>
    <xf numFmtId="164" fontId="15" fillId="7" borderId="14" xfId="4" applyNumberFormat="1" applyFont="1" applyFill="1" applyBorder="1" applyAlignment="1">
      <alignment horizontal="center" vertical="center" wrapText="1"/>
    </xf>
    <xf numFmtId="165" fontId="16" fillId="7" borderId="15" xfId="4" applyNumberFormat="1" applyFont="1" applyFill="1" applyBorder="1" applyAlignment="1">
      <alignment horizontal="center" vertical="center" wrapText="1"/>
    </xf>
    <xf numFmtId="164" fontId="16" fillId="7" borderId="14" xfId="4" applyNumberFormat="1" applyFont="1" applyFill="1" applyBorder="1" applyAlignment="1">
      <alignment horizontal="center" vertical="center" wrapText="1"/>
    </xf>
    <xf numFmtId="2" fontId="16" fillId="3" borderId="16" xfId="4" applyNumberFormat="1" applyFont="1" applyFill="1" applyBorder="1" applyAlignment="1">
      <alignment horizontal="center" vertical="center" wrapText="1"/>
    </xf>
    <xf numFmtId="164" fontId="16" fillId="3" borderId="17" xfId="4" applyNumberFormat="1" applyFont="1" applyFill="1" applyBorder="1" applyAlignment="1">
      <alignment horizontal="center" vertical="center" wrapText="1"/>
    </xf>
    <xf numFmtId="165" fontId="4" fillId="0" borderId="18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 wrapText="1"/>
    </xf>
    <xf numFmtId="165" fontId="4" fillId="0" borderId="1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8" fontId="14" fillId="7" borderId="20" xfId="0" applyNumberFormat="1" applyFont="1" applyFill="1" applyBorder="1" applyAlignment="1">
      <alignment horizontal="center" vertical="center" wrapText="1"/>
    </xf>
    <xf numFmtId="6" fontId="14" fillId="7" borderId="21" xfId="0" applyNumberFormat="1" applyFont="1" applyFill="1" applyBorder="1" applyAlignment="1">
      <alignment horizontal="center" vertical="center" wrapText="1"/>
    </xf>
    <xf numFmtId="165" fontId="15" fillId="7" borderId="22" xfId="4" applyNumberFormat="1" applyFont="1" applyFill="1" applyBorder="1" applyAlignment="1">
      <alignment horizontal="center" vertical="center" wrapText="1"/>
    </xf>
    <xf numFmtId="164" fontId="17" fillId="0" borderId="23" xfId="0" applyNumberFormat="1" applyFont="1" applyBorder="1" applyAlignment="1">
      <alignment horizontal="center" vertical="center" wrapText="1"/>
    </xf>
    <xf numFmtId="165" fontId="16" fillId="7" borderId="22" xfId="4" applyNumberFormat="1" applyFont="1" applyFill="1" applyBorder="1" applyAlignment="1">
      <alignment horizontal="center" vertical="center" wrapText="1"/>
    </xf>
    <xf numFmtId="164" fontId="18" fillId="0" borderId="23" xfId="0" applyNumberFormat="1" applyFont="1" applyBorder="1" applyAlignment="1">
      <alignment horizontal="center" vertical="center" wrapText="1"/>
    </xf>
    <xf numFmtId="2" fontId="0" fillId="0" borderId="24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65" fontId="4" fillId="0" borderId="26" xfId="0" applyNumberFormat="1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 wrapText="1"/>
    </xf>
    <xf numFmtId="165" fontId="4" fillId="0" borderId="26" xfId="0" applyNumberFormat="1" applyFont="1" applyBorder="1" applyAlignment="1">
      <alignment horizontal="center" vertical="center" wrapText="1"/>
    </xf>
    <xf numFmtId="1" fontId="11" fillId="4" borderId="8" xfId="2" applyNumberFormat="1" applyFont="1" applyFill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center" vertical="center" wrapText="1"/>
    </xf>
    <xf numFmtId="165" fontId="13" fillId="4" borderId="9" xfId="4" applyNumberFormat="1" applyFont="1" applyFill="1" applyBorder="1" applyAlignment="1">
      <alignment horizontal="center" vertical="center" wrapText="1"/>
    </xf>
    <xf numFmtId="164" fontId="13" fillId="4" borderId="9" xfId="4" applyNumberFormat="1" applyFont="1" applyFill="1" applyBorder="1" applyAlignment="1">
      <alignment horizontal="center" vertical="center" wrapText="1"/>
    </xf>
    <xf numFmtId="165" fontId="11" fillId="4" borderId="9" xfId="4" applyNumberFormat="1" applyFont="1" applyFill="1" applyBorder="1" applyAlignment="1">
      <alignment horizontal="center" vertical="center" wrapText="1"/>
    </xf>
    <xf numFmtId="164" fontId="11" fillId="4" borderId="9" xfId="4" applyNumberFormat="1" applyFont="1" applyFill="1" applyBorder="1" applyAlignment="1">
      <alignment horizontal="center" vertical="center" wrapText="1"/>
    </xf>
    <xf numFmtId="8" fontId="14" fillId="4" borderId="28" xfId="0" applyNumberFormat="1" applyFont="1" applyFill="1" applyBorder="1" applyAlignment="1">
      <alignment horizontal="center" vertical="center" wrapText="1"/>
    </xf>
    <xf numFmtId="6" fontId="14" fillId="4" borderId="29" xfId="0" applyNumberFormat="1" applyFont="1" applyFill="1" applyBorder="1" applyAlignment="1">
      <alignment horizontal="center" vertical="center" wrapText="1"/>
    </xf>
    <xf numFmtId="165" fontId="15" fillId="4" borderId="15" xfId="4" applyNumberFormat="1" applyFont="1" applyFill="1" applyBorder="1" applyAlignment="1">
      <alignment horizontal="center" vertical="center" wrapText="1"/>
    </xf>
    <xf numFmtId="164" fontId="15" fillId="4" borderId="14" xfId="4" applyNumberFormat="1" applyFont="1" applyFill="1" applyBorder="1" applyAlignment="1">
      <alignment horizontal="center" vertical="center" wrapText="1"/>
    </xf>
    <xf numFmtId="165" fontId="16" fillId="4" borderId="15" xfId="4" applyNumberFormat="1" applyFont="1" applyFill="1" applyBorder="1" applyAlignment="1">
      <alignment horizontal="center" vertical="center" wrapText="1"/>
    </xf>
    <xf numFmtId="164" fontId="16" fillId="4" borderId="14" xfId="4" applyNumberFormat="1" applyFont="1" applyFill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 wrapText="1"/>
    </xf>
    <xf numFmtId="8" fontId="14" fillId="4" borderId="20" xfId="0" applyNumberFormat="1" applyFont="1" applyFill="1" applyBorder="1" applyAlignment="1">
      <alignment horizontal="center" vertical="center" wrapText="1"/>
    </xf>
    <xf numFmtId="6" fontId="14" fillId="4" borderId="21" xfId="0" applyNumberFormat="1" applyFont="1" applyFill="1" applyBorder="1" applyAlignment="1">
      <alignment horizontal="center" vertical="center" wrapText="1"/>
    </xf>
    <xf numFmtId="165" fontId="15" fillId="4" borderId="22" xfId="4" applyNumberFormat="1" applyFont="1" applyFill="1" applyBorder="1" applyAlignment="1">
      <alignment horizontal="center" vertical="center" wrapText="1"/>
    </xf>
    <xf numFmtId="165" fontId="16" fillId="4" borderId="22" xfId="4" applyNumberFormat="1" applyFont="1" applyFill="1" applyBorder="1" applyAlignment="1">
      <alignment horizontal="center" vertical="center" wrapText="1"/>
    </xf>
    <xf numFmtId="164" fontId="4" fillId="0" borderId="26" xfId="0" applyNumberFormat="1" applyFont="1" applyBorder="1" applyAlignment="1">
      <alignment horizontal="center" vertical="center"/>
    </xf>
    <xf numFmtId="0" fontId="11" fillId="5" borderId="30" xfId="3" applyFont="1" applyFill="1" applyBorder="1" applyAlignment="1">
      <alignment horizontal="center" vertical="center" wrapText="1"/>
    </xf>
    <xf numFmtId="10" fontId="11" fillId="3" borderId="30" xfId="1" applyNumberFormat="1" applyFont="1" applyFill="1" applyBorder="1" applyAlignment="1">
      <alignment horizontal="center" vertical="center" wrapText="1"/>
    </xf>
    <xf numFmtId="166" fontId="11" fillId="3" borderId="30" xfId="2" applyNumberFormat="1" applyFont="1" applyFill="1" applyBorder="1" applyAlignment="1">
      <alignment horizontal="center" vertical="center" wrapText="1"/>
    </xf>
    <xf numFmtId="10" fontId="11" fillId="3" borderId="30" xfId="2" applyNumberFormat="1" applyFont="1" applyFill="1" applyBorder="1" applyAlignment="1">
      <alignment horizontal="center" vertical="center" wrapText="1"/>
    </xf>
    <xf numFmtId="165" fontId="13" fillId="7" borderId="30" xfId="4" applyNumberFormat="1" applyFont="1" applyFill="1" applyBorder="1" applyAlignment="1">
      <alignment horizontal="center" vertical="center" wrapText="1"/>
    </xf>
    <xf numFmtId="164" fontId="13" fillId="7" borderId="30" xfId="4" applyNumberFormat="1" applyFont="1" applyFill="1" applyBorder="1" applyAlignment="1">
      <alignment horizontal="center" vertical="center" wrapText="1"/>
    </xf>
    <xf numFmtId="165" fontId="11" fillId="7" borderId="30" xfId="4" applyNumberFormat="1" applyFont="1" applyFill="1" applyBorder="1" applyAlignment="1">
      <alignment horizontal="center" vertical="center" wrapText="1"/>
    </xf>
    <xf numFmtId="164" fontId="11" fillId="7" borderId="30" xfId="4" applyNumberFormat="1" applyFont="1" applyFill="1" applyBorder="1" applyAlignment="1">
      <alignment horizontal="center" vertical="center" wrapText="1"/>
    </xf>
    <xf numFmtId="8" fontId="14" fillId="6" borderId="31" xfId="0" applyNumberFormat="1" applyFont="1" applyFill="1" applyBorder="1" applyAlignment="1">
      <alignment horizontal="center" vertical="center" wrapText="1"/>
    </xf>
    <xf numFmtId="6" fontId="14" fillId="6" borderId="32" xfId="0" applyNumberFormat="1" applyFont="1" applyFill="1" applyBorder="1" applyAlignment="1">
      <alignment horizontal="center" vertical="center" wrapText="1"/>
    </xf>
    <xf numFmtId="165" fontId="15" fillId="7" borderId="30" xfId="4" applyNumberFormat="1" applyFont="1" applyFill="1" applyBorder="1" applyAlignment="1">
      <alignment horizontal="center" vertical="center" wrapText="1"/>
    </xf>
    <xf numFmtId="164" fontId="15" fillId="7" borderId="33" xfId="4" applyNumberFormat="1" applyFont="1" applyFill="1" applyBorder="1" applyAlignment="1">
      <alignment horizontal="center" vertical="center" wrapText="1"/>
    </xf>
    <xf numFmtId="165" fontId="16" fillId="7" borderId="34" xfId="4" applyNumberFormat="1" applyFont="1" applyFill="1" applyBorder="1" applyAlignment="1">
      <alignment horizontal="center" vertical="center" wrapText="1"/>
    </xf>
    <xf numFmtId="164" fontId="16" fillId="7" borderId="33" xfId="4" applyNumberFormat="1" applyFont="1" applyFill="1" applyBorder="1" applyAlignment="1">
      <alignment horizontal="center" vertical="center" wrapText="1"/>
    </xf>
    <xf numFmtId="2" fontId="16" fillId="3" borderId="16" xfId="4" applyNumberFormat="1" applyFont="1" applyFill="1" applyBorder="1" applyAlignment="1">
      <alignment horizontal="center" vertical="center" wrapText="1"/>
    </xf>
    <xf numFmtId="164" fontId="16" fillId="3" borderId="35" xfId="4" applyNumberFormat="1" applyFont="1" applyFill="1" applyBorder="1" applyAlignment="1">
      <alignment horizontal="center" vertical="center" wrapText="1"/>
    </xf>
    <xf numFmtId="165" fontId="4" fillId="0" borderId="6" xfId="0" applyNumberFormat="1" applyFont="1" applyBorder="1" applyAlignment="1">
      <alignment wrapText="1"/>
    </xf>
    <xf numFmtId="164" fontId="4" fillId="0" borderId="6" xfId="0" applyNumberFormat="1" applyFont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5" borderId="6" xfId="3" applyFont="1" applyFill="1" applyBorder="1" applyAlignment="1">
      <alignment horizontal="center" vertical="center" wrapText="1"/>
    </xf>
    <xf numFmtId="10" fontId="11" fillId="3" borderId="6" xfId="1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165" fontId="11" fillId="7" borderId="6" xfId="4" applyNumberFormat="1" applyFont="1" applyFill="1" applyBorder="1" applyAlignment="1">
      <alignment horizontal="center" vertical="center" wrapText="1"/>
    </xf>
    <xf numFmtId="164" fontId="11" fillId="7" borderId="6" xfId="4" applyNumberFormat="1" applyFont="1" applyFill="1" applyBorder="1" applyAlignment="1">
      <alignment horizontal="center" vertical="center" wrapText="1"/>
    </xf>
    <xf numFmtId="8" fontId="19" fillId="6" borderId="36" xfId="0" applyNumberFormat="1" applyFont="1" applyFill="1" applyBorder="1" applyAlignment="1">
      <alignment horizontal="center" vertical="center" wrapText="1"/>
    </xf>
    <xf numFmtId="6" fontId="19" fillId="6" borderId="37" xfId="0" applyNumberFormat="1" applyFont="1" applyFill="1" applyBorder="1" applyAlignment="1">
      <alignment horizontal="center" vertical="center" wrapText="1"/>
    </xf>
    <xf numFmtId="164" fontId="11" fillId="7" borderId="37" xfId="4" applyNumberFormat="1" applyFont="1" applyFill="1" applyBorder="1" applyAlignment="1">
      <alignment horizontal="center" vertical="center" wrapText="1"/>
    </xf>
    <xf numFmtId="165" fontId="11" fillId="7" borderId="38" xfId="4" applyNumberFormat="1" applyFont="1" applyFill="1" applyBorder="1" applyAlignment="1">
      <alignment horizontal="center" vertical="center" wrapText="1"/>
    </xf>
    <xf numFmtId="2" fontId="19" fillId="3" borderId="39" xfId="0" applyNumberFormat="1" applyFont="1" applyFill="1" applyBorder="1" applyAlignment="1">
      <alignment horizontal="center" vertical="center" wrapText="1"/>
    </xf>
    <xf numFmtId="164" fontId="11" fillId="3" borderId="7" xfId="4" applyNumberFormat="1" applyFont="1" applyFill="1" applyBorder="1" applyAlignment="1">
      <alignment horizontal="center" vertical="center" wrapText="1"/>
    </xf>
    <xf numFmtId="0" fontId="11" fillId="5" borderId="40" xfId="3" applyFont="1" applyFill="1" applyBorder="1" applyAlignment="1">
      <alignment horizontal="center" vertical="center" wrapText="1"/>
    </xf>
    <xf numFmtId="10" fontId="11" fillId="3" borderId="40" xfId="1" applyNumberFormat="1" applyFont="1" applyFill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vertical="center" wrapText="1"/>
    </xf>
    <xf numFmtId="165" fontId="11" fillId="7" borderId="40" xfId="4" applyNumberFormat="1" applyFont="1" applyFill="1" applyBorder="1" applyAlignment="1">
      <alignment horizontal="center" vertical="center" wrapText="1"/>
    </xf>
    <xf numFmtId="164" fontId="11" fillId="7" borderId="40" xfId="4" applyNumberFormat="1" applyFont="1" applyFill="1" applyBorder="1" applyAlignment="1">
      <alignment horizontal="center" vertical="center" wrapText="1"/>
    </xf>
    <xf numFmtId="8" fontId="19" fillId="6" borderId="41" xfId="0" applyNumberFormat="1" applyFont="1" applyFill="1" applyBorder="1" applyAlignment="1">
      <alignment horizontal="center" vertical="center" wrapText="1"/>
    </xf>
    <xf numFmtId="6" fontId="19" fillId="6" borderId="42" xfId="0" applyNumberFormat="1" applyFont="1" applyFill="1" applyBorder="1" applyAlignment="1">
      <alignment horizontal="center" vertical="center" wrapText="1"/>
    </xf>
    <xf numFmtId="165" fontId="11" fillId="7" borderId="18" xfId="4" applyNumberFormat="1" applyFont="1" applyFill="1" applyBorder="1" applyAlignment="1">
      <alignment horizontal="center" vertical="center" wrapText="1"/>
    </xf>
    <xf numFmtId="164" fontId="11" fillId="7" borderId="42" xfId="4" applyNumberFormat="1" applyFont="1" applyFill="1" applyBorder="1" applyAlignment="1">
      <alignment horizontal="center" vertical="center" wrapText="1"/>
    </xf>
    <xf numFmtId="165" fontId="11" fillId="7" borderId="43" xfId="4" applyNumberFormat="1" applyFont="1" applyFill="1" applyBorder="1" applyAlignment="1">
      <alignment horizontal="center" vertical="center" wrapText="1"/>
    </xf>
    <xf numFmtId="1" fontId="11" fillId="4" borderId="44" xfId="2" applyNumberFormat="1" applyFont="1" applyFill="1" applyBorder="1" applyAlignment="1">
      <alignment horizontal="center" vertical="center" wrapText="1"/>
    </xf>
    <xf numFmtId="0" fontId="11" fillId="4" borderId="30" xfId="2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165" fontId="11" fillId="4" borderId="30" xfId="4" applyNumberFormat="1" applyFont="1" applyFill="1" applyBorder="1" applyAlignment="1">
      <alignment horizontal="center" vertical="center" wrapText="1"/>
    </xf>
    <xf numFmtId="164" fontId="11" fillId="4" borderId="30" xfId="4" applyNumberFormat="1" applyFont="1" applyFill="1" applyBorder="1" applyAlignment="1">
      <alignment horizontal="center" vertical="center" wrapText="1"/>
    </xf>
    <xf numFmtId="8" fontId="19" fillId="4" borderId="44" xfId="0" applyNumberFormat="1" applyFont="1" applyFill="1" applyBorder="1" applyAlignment="1">
      <alignment horizontal="center" vertical="center" wrapText="1"/>
    </xf>
    <xf numFmtId="6" fontId="19" fillId="4" borderId="33" xfId="0" applyNumberFormat="1" applyFont="1" applyFill="1" applyBorder="1" applyAlignment="1">
      <alignment horizontal="center" vertical="center" wrapText="1"/>
    </xf>
    <xf numFmtId="164" fontId="11" fillId="4" borderId="33" xfId="4" applyNumberFormat="1" applyFont="1" applyFill="1" applyBorder="1" applyAlignment="1">
      <alignment horizontal="center" vertical="center" wrapText="1"/>
    </xf>
    <xf numFmtId="165" fontId="11" fillId="4" borderId="34" xfId="4" applyNumberFormat="1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0" fontId="13" fillId="3" borderId="6" xfId="1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65" fontId="13" fillId="4" borderId="6" xfId="4" applyNumberFormat="1" applyFont="1" applyFill="1" applyBorder="1" applyAlignment="1">
      <alignment horizontal="center" vertical="center" wrapText="1"/>
    </xf>
    <xf numFmtId="164" fontId="13" fillId="4" borderId="6" xfId="4" applyNumberFormat="1" applyFont="1" applyFill="1" applyBorder="1" applyAlignment="1">
      <alignment horizontal="center" vertical="center" wrapText="1"/>
    </xf>
    <xf numFmtId="165" fontId="11" fillId="4" borderId="6" xfId="4" applyNumberFormat="1" applyFont="1" applyFill="1" applyBorder="1" applyAlignment="1">
      <alignment horizontal="center" vertical="center" wrapText="1"/>
    </xf>
    <xf numFmtId="164" fontId="11" fillId="4" borderId="6" xfId="4" applyNumberFormat="1" applyFont="1" applyFill="1" applyBorder="1" applyAlignment="1">
      <alignment horizontal="center" vertical="center" wrapText="1"/>
    </xf>
    <xf numFmtId="8" fontId="14" fillId="4" borderId="36" xfId="0" applyNumberFormat="1" applyFont="1" applyFill="1" applyBorder="1" applyAlignment="1">
      <alignment horizontal="center" vertical="center" wrapText="1"/>
    </xf>
    <xf numFmtId="6" fontId="14" fillId="4" borderId="37" xfId="0" applyNumberFormat="1" applyFont="1" applyFill="1" applyBorder="1" applyAlignment="1">
      <alignment horizontal="center" vertical="center" wrapText="1"/>
    </xf>
    <xf numFmtId="165" fontId="15" fillId="4" borderId="6" xfId="4" applyNumberFormat="1" applyFont="1" applyFill="1" applyBorder="1" applyAlignment="1">
      <alignment horizontal="center" vertical="center" wrapText="1"/>
    </xf>
    <xf numFmtId="164" fontId="15" fillId="4" borderId="37" xfId="4" applyNumberFormat="1" applyFont="1" applyFill="1" applyBorder="1" applyAlignment="1">
      <alignment horizontal="center" vertical="center" wrapText="1"/>
    </xf>
    <xf numFmtId="165" fontId="16" fillId="4" borderId="38" xfId="4" applyNumberFormat="1" applyFont="1" applyFill="1" applyBorder="1" applyAlignment="1">
      <alignment horizontal="center" vertical="center" wrapText="1"/>
    </xf>
    <xf numFmtId="164" fontId="16" fillId="4" borderId="37" xfId="4" applyNumberFormat="1" applyFont="1" applyFill="1" applyBorder="1" applyAlignment="1">
      <alignment horizontal="center" vertical="center" wrapText="1"/>
    </xf>
    <xf numFmtId="2" fontId="16" fillId="4" borderId="7" xfId="4" applyNumberFormat="1" applyFont="1" applyFill="1" applyBorder="1" applyAlignment="1">
      <alignment horizontal="center" vertical="center" wrapText="1"/>
    </xf>
    <xf numFmtId="164" fontId="16" fillId="4" borderId="7" xfId="4" applyNumberFormat="1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10" fontId="13" fillId="3" borderId="40" xfId="1" applyNumberFormat="1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165" fontId="13" fillId="4" borderId="40" xfId="4" applyNumberFormat="1" applyFont="1" applyFill="1" applyBorder="1" applyAlignment="1">
      <alignment horizontal="center" vertical="center" wrapText="1"/>
    </xf>
    <xf numFmtId="164" fontId="13" fillId="4" borderId="40" xfId="4" applyNumberFormat="1" applyFont="1" applyFill="1" applyBorder="1" applyAlignment="1">
      <alignment horizontal="center" vertical="center" wrapText="1"/>
    </xf>
    <xf numFmtId="165" fontId="11" fillId="4" borderId="40" xfId="4" applyNumberFormat="1" applyFont="1" applyFill="1" applyBorder="1" applyAlignment="1">
      <alignment horizontal="center" vertical="center" wrapText="1"/>
    </xf>
    <xf numFmtId="164" fontId="11" fillId="4" borderId="40" xfId="4" applyNumberFormat="1" applyFont="1" applyFill="1" applyBorder="1" applyAlignment="1">
      <alignment horizontal="center" vertical="center" wrapText="1"/>
    </xf>
    <xf numFmtId="8" fontId="14" fillId="4" borderId="41" xfId="0" applyNumberFormat="1" applyFont="1" applyFill="1" applyBorder="1" applyAlignment="1">
      <alignment horizontal="center" vertical="center" wrapText="1"/>
    </xf>
    <xf numFmtId="6" fontId="14" fillId="4" borderId="42" xfId="0" applyNumberFormat="1" applyFont="1" applyFill="1" applyBorder="1" applyAlignment="1">
      <alignment horizontal="center" vertical="center" wrapText="1"/>
    </xf>
    <xf numFmtId="165" fontId="15" fillId="4" borderId="40" xfId="4" applyNumberFormat="1" applyFont="1" applyFill="1" applyBorder="1" applyAlignment="1">
      <alignment horizontal="center" vertical="center" wrapText="1"/>
    </xf>
    <xf numFmtId="164" fontId="15" fillId="4" borderId="42" xfId="4" applyNumberFormat="1" applyFont="1" applyFill="1" applyBorder="1" applyAlignment="1">
      <alignment horizontal="center" vertical="center" wrapText="1"/>
    </xf>
    <xf numFmtId="165" fontId="16" fillId="4" borderId="43" xfId="4" applyNumberFormat="1" applyFont="1" applyFill="1" applyBorder="1" applyAlignment="1">
      <alignment horizontal="center" vertical="center" wrapText="1"/>
    </xf>
    <xf numFmtId="164" fontId="16" fillId="4" borderId="42" xfId="4" applyNumberFormat="1" applyFont="1" applyFill="1" applyBorder="1" applyAlignment="1">
      <alignment horizontal="center" vertical="center" wrapText="1"/>
    </xf>
    <xf numFmtId="164" fontId="16" fillId="4" borderId="45" xfId="4" applyNumberFormat="1" applyFont="1" applyFill="1" applyBorder="1" applyAlignment="1">
      <alignment horizontal="center" vertical="center" wrapText="1"/>
    </xf>
    <xf numFmtId="1" fontId="11" fillId="6" borderId="46" xfId="2" applyNumberFormat="1" applyFont="1" applyFill="1" applyBorder="1" applyAlignment="1">
      <alignment horizontal="center" vertical="center" wrapText="1"/>
    </xf>
    <xf numFmtId="0" fontId="11" fillId="6" borderId="15" xfId="2" applyFont="1" applyFill="1" applyBorder="1" applyAlignment="1">
      <alignment horizontal="center" vertical="center" wrapText="1"/>
    </xf>
    <xf numFmtId="10" fontId="13" fillId="3" borderId="30" xfId="1" applyNumberFormat="1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8" fontId="14" fillId="7" borderId="44" xfId="0" applyNumberFormat="1" applyFont="1" applyFill="1" applyBorder="1" applyAlignment="1">
      <alignment horizontal="center" vertical="center" wrapText="1"/>
    </xf>
    <xf numFmtId="6" fontId="14" fillId="7" borderId="33" xfId="0" applyNumberFormat="1" applyFont="1" applyFill="1" applyBorder="1" applyAlignment="1">
      <alignment horizontal="center" vertical="center" wrapText="1"/>
    </xf>
    <xf numFmtId="165" fontId="15" fillId="7" borderId="26" xfId="4" applyNumberFormat="1" applyFont="1" applyFill="1" applyBorder="1" applyAlignment="1">
      <alignment horizontal="center" vertical="center" wrapText="1"/>
    </xf>
    <xf numFmtId="165" fontId="16" fillId="7" borderId="30" xfId="4" applyNumberFormat="1" applyFont="1" applyFill="1" applyBorder="1" applyAlignment="1">
      <alignment horizontal="center" vertical="center" wrapText="1"/>
    </xf>
    <xf numFmtId="2" fontId="16" fillId="7" borderId="35" xfId="4" applyNumberFormat="1" applyFont="1" applyFill="1" applyBorder="1" applyAlignment="1">
      <alignment horizontal="center" vertical="center" wrapText="1"/>
    </xf>
    <xf numFmtId="164" fontId="16" fillId="7" borderId="35" xfId="4" applyNumberFormat="1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13" fillId="7" borderId="6" xfId="4" applyNumberFormat="1" applyFont="1" applyFill="1" applyBorder="1" applyAlignment="1">
      <alignment horizontal="center" vertical="center" wrapText="1"/>
    </xf>
    <xf numFmtId="164" fontId="13" fillId="7" borderId="6" xfId="4" applyNumberFormat="1" applyFont="1" applyFill="1" applyBorder="1" applyAlignment="1">
      <alignment horizontal="center" vertical="center" wrapText="1"/>
    </xf>
    <xf numFmtId="8" fontId="14" fillId="7" borderId="36" xfId="0" applyNumberFormat="1" applyFont="1" applyFill="1" applyBorder="1" applyAlignment="1">
      <alignment horizontal="center" vertical="center" wrapText="1"/>
    </xf>
    <xf numFmtId="6" fontId="14" fillId="7" borderId="37" xfId="0" applyNumberFormat="1" applyFont="1" applyFill="1" applyBorder="1" applyAlignment="1">
      <alignment horizontal="center" vertical="center" wrapText="1"/>
    </xf>
    <xf numFmtId="165" fontId="15" fillId="7" borderId="6" xfId="4" applyNumberFormat="1" applyFont="1" applyFill="1" applyBorder="1" applyAlignment="1">
      <alignment horizontal="center" vertical="center" wrapText="1"/>
    </xf>
    <xf numFmtId="164" fontId="15" fillId="7" borderId="37" xfId="4" applyNumberFormat="1" applyFont="1" applyFill="1" applyBorder="1" applyAlignment="1">
      <alignment horizontal="center" vertical="center" wrapText="1"/>
    </xf>
    <xf numFmtId="165" fontId="16" fillId="7" borderId="6" xfId="4" applyNumberFormat="1" applyFont="1" applyFill="1" applyBorder="1" applyAlignment="1">
      <alignment horizontal="center" vertical="center" wrapText="1"/>
    </xf>
    <xf numFmtId="164" fontId="16" fillId="7" borderId="37" xfId="4" applyNumberFormat="1" applyFont="1" applyFill="1" applyBorder="1" applyAlignment="1">
      <alignment horizontal="center" vertical="center" wrapText="1"/>
    </xf>
    <xf numFmtId="2" fontId="16" fillId="7" borderId="7" xfId="4" applyNumberFormat="1" applyFont="1" applyFill="1" applyBorder="1" applyAlignment="1">
      <alignment horizontal="center" vertical="center" wrapText="1"/>
    </xf>
    <xf numFmtId="164" fontId="16" fillId="7" borderId="7" xfId="4" applyNumberFormat="1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0" fontId="20" fillId="3" borderId="40" xfId="1" applyNumberFormat="1" applyFont="1" applyFill="1" applyBorder="1" applyAlignment="1">
      <alignment horizontal="center" vertical="center" wrapText="1"/>
    </xf>
    <xf numFmtId="0" fontId="20" fillId="3" borderId="40" xfId="0" applyFont="1" applyFill="1" applyBorder="1" applyAlignment="1">
      <alignment horizontal="center" vertical="center" wrapText="1"/>
    </xf>
    <xf numFmtId="165" fontId="20" fillId="7" borderId="40" xfId="4" applyNumberFormat="1" applyFont="1" applyFill="1" applyBorder="1" applyAlignment="1">
      <alignment horizontal="center" vertical="center" wrapText="1"/>
    </xf>
    <xf numFmtId="164" fontId="20" fillId="7" borderId="40" xfId="4" applyNumberFormat="1" applyFont="1" applyFill="1" applyBorder="1" applyAlignment="1">
      <alignment horizontal="center" vertical="center" wrapText="1"/>
    </xf>
    <xf numFmtId="8" fontId="14" fillId="7" borderId="49" xfId="0" applyNumberFormat="1" applyFont="1" applyFill="1" applyBorder="1" applyAlignment="1">
      <alignment horizontal="center" vertical="center" wrapText="1"/>
    </xf>
    <xf numFmtId="6" fontId="14" fillId="7" borderId="50" xfId="0" applyNumberFormat="1" applyFont="1" applyFill="1" applyBorder="1" applyAlignment="1">
      <alignment horizontal="center" vertical="center" wrapText="1"/>
    </xf>
    <xf numFmtId="165" fontId="15" fillId="7" borderId="18" xfId="4" applyNumberFormat="1" applyFont="1" applyFill="1" applyBorder="1" applyAlignment="1">
      <alignment horizontal="center" vertical="center" wrapText="1"/>
    </xf>
    <xf numFmtId="164" fontId="15" fillId="7" borderId="42" xfId="4" applyNumberFormat="1" applyFont="1" applyFill="1" applyBorder="1" applyAlignment="1">
      <alignment horizontal="center" vertical="center" wrapText="1"/>
    </xf>
    <xf numFmtId="165" fontId="16" fillId="7" borderId="18" xfId="4" applyNumberFormat="1" applyFont="1" applyFill="1" applyBorder="1" applyAlignment="1">
      <alignment horizontal="center" vertical="center" wrapText="1"/>
    </xf>
    <xf numFmtId="164" fontId="16" fillId="7" borderId="42" xfId="4" applyNumberFormat="1" applyFont="1" applyFill="1" applyBorder="1" applyAlignment="1">
      <alignment horizontal="center" vertical="center" wrapText="1"/>
    </xf>
    <xf numFmtId="2" fontId="16" fillId="7" borderId="45" xfId="4" applyNumberFormat="1" applyFont="1" applyFill="1" applyBorder="1" applyAlignment="1">
      <alignment horizontal="center" vertical="center" wrapText="1"/>
    </xf>
    <xf numFmtId="164" fontId="16" fillId="7" borderId="45" xfId="4" applyNumberFormat="1" applyFont="1" applyFill="1" applyBorder="1" applyAlignment="1">
      <alignment horizontal="center" vertical="center" wrapText="1"/>
    </xf>
    <xf numFmtId="0" fontId="11" fillId="4" borderId="15" xfId="2" applyFont="1" applyFill="1" applyBorder="1" applyAlignment="1">
      <alignment horizontal="center" vertical="center" wrapText="1"/>
    </xf>
    <xf numFmtId="0" fontId="11" fillId="5" borderId="26" xfId="3" applyFont="1" applyFill="1" applyBorder="1" applyAlignment="1">
      <alignment horizontal="center" vertical="center" wrapText="1"/>
    </xf>
    <xf numFmtId="10" fontId="13" fillId="3" borderId="51" xfId="1" applyNumberFormat="1" applyFont="1" applyFill="1" applyBorder="1" applyAlignment="1">
      <alignment horizontal="center" vertical="center" wrapText="1"/>
    </xf>
    <xf numFmtId="166" fontId="11" fillId="3" borderId="52" xfId="2" applyNumberFormat="1" applyFont="1" applyFill="1" applyBorder="1" applyAlignment="1">
      <alignment horizontal="center" vertical="center" wrapText="1"/>
    </xf>
    <xf numFmtId="10" fontId="11" fillId="3" borderId="53" xfId="2" applyNumberFormat="1" applyFont="1" applyFill="1" applyBorder="1" applyAlignment="1">
      <alignment horizontal="center" vertical="center" wrapText="1"/>
    </xf>
    <xf numFmtId="165" fontId="13" fillId="4" borderId="26" xfId="4" applyNumberFormat="1" applyFont="1" applyFill="1" applyBorder="1" applyAlignment="1">
      <alignment horizontal="center" vertical="center" wrapText="1"/>
    </xf>
    <xf numFmtId="164" fontId="13" fillId="4" borderId="26" xfId="4" applyNumberFormat="1" applyFont="1" applyFill="1" applyBorder="1" applyAlignment="1">
      <alignment horizontal="center" vertical="center" wrapText="1"/>
    </xf>
    <xf numFmtId="8" fontId="14" fillId="4" borderId="44" xfId="0" applyNumberFormat="1" applyFont="1" applyFill="1" applyBorder="1" applyAlignment="1">
      <alignment horizontal="center" vertical="center" wrapText="1"/>
    </xf>
    <xf numFmtId="6" fontId="14" fillId="4" borderId="33" xfId="0" applyNumberFormat="1" applyFont="1" applyFill="1" applyBorder="1" applyAlignment="1">
      <alignment horizontal="center" vertical="center" wrapText="1"/>
    </xf>
    <xf numFmtId="165" fontId="15" fillId="4" borderId="30" xfId="4" applyNumberFormat="1" applyFont="1" applyFill="1" applyBorder="1" applyAlignment="1">
      <alignment horizontal="center" vertical="center" wrapText="1"/>
    </xf>
    <xf numFmtId="164" fontId="15" fillId="4" borderId="33" xfId="4" applyNumberFormat="1" applyFont="1" applyFill="1" applyBorder="1" applyAlignment="1">
      <alignment horizontal="center" vertical="center" wrapText="1"/>
    </xf>
    <xf numFmtId="165" fontId="16" fillId="4" borderId="34" xfId="4" applyNumberFormat="1" applyFont="1" applyFill="1" applyBorder="1" applyAlignment="1">
      <alignment horizontal="center" vertical="center" wrapText="1"/>
    </xf>
    <xf numFmtId="164" fontId="16" fillId="4" borderId="33" xfId="4" applyNumberFormat="1" applyFont="1" applyFill="1" applyBorder="1" applyAlignment="1">
      <alignment horizontal="center" vertical="center" wrapText="1"/>
    </xf>
    <xf numFmtId="2" fontId="16" fillId="4" borderId="35" xfId="4" applyNumberFormat="1" applyFont="1" applyFill="1" applyBorder="1" applyAlignment="1">
      <alignment horizontal="center" vertical="center" wrapText="1"/>
    </xf>
    <xf numFmtId="164" fontId="16" fillId="4" borderId="35" xfId="4" applyNumberFormat="1" applyFont="1" applyFill="1" applyBorder="1" applyAlignment="1">
      <alignment horizontal="center" vertical="center" wrapText="1"/>
    </xf>
    <xf numFmtId="10" fontId="13" fillId="3" borderId="54" xfId="1" applyNumberFormat="1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10" fontId="4" fillId="3" borderId="56" xfId="0" applyNumberFormat="1" applyFont="1" applyFill="1" applyBorder="1" applyAlignment="1">
      <alignment horizontal="center" vertical="center" wrapText="1"/>
    </xf>
    <xf numFmtId="0" fontId="11" fillId="5" borderId="18" xfId="3" applyFont="1" applyFill="1" applyBorder="1" applyAlignment="1">
      <alignment horizontal="center" vertical="center" wrapText="1"/>
    </xf>
    <xf numFmtId="10" fontId="13" fillId="3" borderId="1" xfId="1" applyNumberFormat="1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10" fontId="4" fillId="3" borderId="58" xfId="0" applyNumberFormat="1" applyFont="1" applyFill="1" applyBorder="1" applyAlignment="1">
      <alignment horizontal="center" vertical="center" wrapText="1"/>
    </xf>
    <xf numFmtId="165" fontId="13" fillId="4" borderId="18" xfId="4" applyNumberFormat="1" applyFont="1" applyFill="1" applyBorder="1" applyAlignment="1">
      <alignment horizontal="center" vertical="center" wrapText="1"/>
    </xf>
    <xf numFmtId="164" fontId="13" fillId="4" borderId="18" xfId="4" applyNumberFormat="1" applyFont="1" applyFill="1" applyBorder="1" applyAlignment="1">
      <alignment horizontal="center" vertical="center" wrapText="1"/>
    </xf>
    <xf numFmtId="2" fontId="16" fillId="4" borderId="19" xfId="4" applyNumberFormat="1" applyFont="1" applyFill="1" applyBorder="1" applyAlignment="1">
      <alignment horizontal="center" vertical="center" wrapText="1"/>
    </xf>
    <xf numFmtId="164" fontId="16" fillId="4" borderId="19" xfId="4" applyNumberFormat="1" applyFont="1" applyFill="1" applyBorder="1" applyAlignment="1">
      <alignment horizontal="center" vertical="center" wrapText="1"/>
    </xf>
    <xf numFmtId="0" fontId="11" fillId="6" borderId="44" xfId="2" applyFont="1" applyFill="1" applyBorder="1" applyAlignment="1">
      <alignment horizontal="center" vertical="center" wrapText="1"/>
    </xf>
    <xf numFmtId="0" fontId="11" fillId="6" borderId="30" xfId="2" applyFont="1" applyFill="1" applyBorder="1" applyAlignment="1">
      <alignment horizontal="center" vertical="center" wrapText="1"/>
    </xf>
    <xf numFmtId="165" fontId="16" fillId="7" borderId="26" xfId="4" applyNumberFormat="1" applyFont="1" applyFill="1" applyBorder="1" applyAlignment="1">
      <alignment horizontal="center" vertical="center" wrapText="1"/>
    </xf>
    <xf numFmtId="10" fontId="21" fillId="3" borderId="40" xfId="1" applyNumberFormat="1" applyFont="1" applyFill="1" applyBorder="1" applyAlignment="1">
      <alignment horizontal="center" vertical="center" wrapText="1"/>
    </xf>
    <xf numFmtId="165" fontId="13" fillId="7" borderId="40" xfId="4" applyNumberFormat="1" applyFont="1" applyFill="1" applyBorder="1" applyAlignment="1">
      <alignment horizontal="center" vertical="center" wrapText="1"/>
    </xf>
    <xf numFmtId="164" fontId="13" fillId="7" borderId="40" xfId="4" applyNumberFormat="1" applyFont="1" applyFill="1" applyBorder="1" applyAlignment="1">
      <alignment horizontal="center" vertical="center" wrapText="1"/>
    </xf>
    <xf numFmtId="8" fontId="14" fillId="7" borderId="41" xfId="0" applyNumberFormat="1" applyFont="1" applyFill="1" applyBorder="1" applyAlignment="1">
      <alignment horizontal="center" vertical="center" wrapText="1"/>
    </xf>
    <xf numFmtId="6" fontId="14" fillId="7" borderId="42" xfId="0" applyNumberFormat="1" applyFont="1" applyFill="1" applyBorder="1" applyAlignment="1">
      <alignment horizontal="center" vertical="center" wrapText="1"/>
    </xf>
    <xf numFmtId="165" fontId="16" fillId="7" borderId="43" xfId="4" applyNumberFormat="1" applyFont="1" applyFill="1" applyBorder="1" applyAlignment="1">
      <alignment horizontal="center" vertical="center" wrapText="1"/>
    </xf>
    <xf numFmtId="165" fontId="13" fillId="4" borderId="30" xfId="4" applyNumberFormat="1" applyFont="1" applyFill="1" applyBorder="1" applyAlignment="1">
      <alignment horizontal="center" vertical="center" wrapText="1"/>
    </xf>
    <xf numFmtId="164" fontId="13" fillId="4" borderId="30" xfId="4" applyNumberFormat="1" applyFont="1" applyFill="1" applyBorder="1" applyAlignment="1">
      <alignment horizontal="center" vertical="center" wrapText="1"/>
    </xf>
    <xf numFmtId="8" fontId="14" fillId="4" borderId="59" xfId="0" applyNumberFormat="1" applyFont="1" applyFill="1" applyBorder="1" applyAlignment="1">
      <alignment horizontal="center" vertical="center" wrapText="1"/>
    </xf>
    <xf numFmtId="6" fontId="14" fillId="4" borderId="60" xfId="0" applyNumberFormat="1" applyFont="1" applyFill="1" applyBorder="1" applyAlignment="1">
      <alignment horizontal="center" vertical="center" wrapText="1"/>
    </xf>
    <xf numFmtId="2" fontId="16" fillId="4" borderId="45" xfId="4" applyNumberFormat="1" applyFont="1" applyFill="1" applyBorder="1" applyAlignment="1">
      <alignment horizontal="center" vertical="center" wrapText="1"/>
    </xf>
    <xf numFmtId="10" fontId="13" fillId="3" borderId="2" xfId="1" applyNumberFormat="1" applyFont="1" applyFill="1" applyBorder="1" applyAlignment="1">
      <alignment horizontal="center" vertical="center" wrapText="1"/>
    </xf>
    <xf numFmtId="165" fontId="13" fillId="7" borderId="26" xfId="4" applyNumberFormat="1" applyFont="1" applyFill="1" applyBorder="1" applyAlignment="1">
      <alignment horizontal="center" vertical="center" wrapText="1"/>
    </xf>
    <xf numFmtId="164" fontId="13" fillId="7" borderId="26" xfId="4" applyNumberFormat="1" applyFont="1" applyFill="1" applyBorder="1" applyAlignment="1">
      <alignment horizontal="center" vertical="center" wrapText="1"/>
    </xf>
    <xf numFmtId="165" fontId="11" fillId="6" borderId="30" xfId="4" applyNumberFormat="1" applyFont="1" applyFill="1" applyBorder="1" applyAlignment="1">
      <alignment horizontal="center" vertical="center" wrapText="1"/>
    </xf>
    <xf numFmtId="164" fontId="11" fillId="6" borderId="30" xfId="4" applyNumberFormat="1" applyFont="1" applyFill="1" applyBorder="1" applyAlignment="1">
      <alignment horizontal="center" vertical="center" wrapText="1"/>
    </xf>
    <xf numFmtId="2" fontId="16" fillId="7" borderId="27" xfId="4" applyNumberFormat="1" applyFont="1" applyFill="1" applyBorder="1" applyAlignment="1">
      <alignment horizontal="center" vertical="center" wrapText="1"/>
    </xf>
    <xf numFmtId="164" fontId="16" fillId="7" borderId="27" xfId="4" applyNumberFormat="1" applyFont="1" applyFill="1" applyBorder="1" applyAlignment="1">
      <alignment horizontal="center" vertical="center" wrapText="1"/>
    </xf>
    <xf numFmtId="10" fontId="20" fillId="3" borderId="2" xfId="1" applyNumberFormat="1" applyFont="1" applyFill="1" applyBorder="1" applyAlignment="1">
      <alignment horizontal="center" vertical="center" wrapText="1"/>
    </xf>
    <xf numFmtId="0" fontId="20" fillId="3" borderId="55" xfId="0" applyFont="1" applyFill="1" applyBorder="1" applyAlignment="1">
      <alignment horizontal="center" vertical="center" wrapText="1"/>
    </xf>
    <xf numFmtId="0" fontId="20" fillId="3" borderId="56" xfId="0" applyFont="1" applyFill="1" applyBorder="1" applyAlignment="1">
      <alignment horizontal="center" vertical="center" wrapText="1"/>
    </xf>
    <xf numFmtId="165" fontId="20" fillId="7" borderId="6" xfId="4" applyNumberFormat="1" applyFont="1" applyFill="1" applyBorder="1" applyAlignment="1">
      <alignment horizontal="center" vertical="center" wrapText="1"/>
    </xf>
    <xf numFmtId="164" fontId="20" fillId="7" borderId="6" xfId="4" applyNumberFormat="1" applyFont="1" applyFill="1" applyBorder="1" applyAlignment="1">
      <alignment horizontal="center" vertical="center" wrapText="1"/>
    </xf>
    <xf numFmtId="165" fontId="20" fillId="6" borderId="6" xfId="4" applyNumberFormat="1" applyFont="1" applyFill="1" applyBorder="1" applyAlignment="1">
      <alignment horizontal="center" vertical="center" wrapText="1"/>
    </xf>
    <xf numFmtId="164" fontId="20" fillId="6" borderId="6" xfId="4" applyNumberFormat="1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165" fontId="11" fillId="6" borderId="6" xfId="4" applyNumberFormat="1" applyFont="1" applyFill="1" applyBorder="1" applyAlignment="1">
      <alignment horizontal="center" vertical="center" wrapText="1"/>
    </xf>
    <xf numFmtId="164" fontId="11" fillId="6" borderId="6" xfId="4" applyNumberFormat="1" applyFont="1" applyFill="1" applyBorder="1" applyAlignment="1">
      <alignment horizontal="center" vertical="center" wrapText="1"/>
    </xf>
    <xf numFmtId="10" fontId="13" fillId="3" borderId="61" xfId="1" applyNumberFormat="1" applyFont="1" applyFill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 wrapText="1"/>
    </xf>
    <xf numFmtId="0" fontId="4" fillId="3" borderId="63" xfId="0" applyFont="1" applyFill="1" applyBorder="1" applyAlignment="1">
      <alignment horizontal="center" vertical="center" wrapText="1"/>
    </xf>
    <xf numFmtId="165" fontId="11" fillId="6" borderId="40" xfId="4" applyNumberFormat="1" applyFont="1" applyFill="1" applyBorder="1" applyAlignment="1">
      <alignment horizontal="center" vertical="center" wrapText="1"/>
    </xf>
    <xf numFmtId="164" fontId="11" fillId="6" borderId="40" xfId="4" applyNumberFormat="1" applyFont="1" applyFill="1" applyBorder="1" applyAlignment="1">
      <alignment horizontal="center" vertical="center" wrapText="1"/>
    </xf>
    <xf numFmtId="165" fontId="16" fillId="7" borderId="1" xfId="4" applyNumberFormat="1" applyFont="1" applyFill="1" applyBorder="1" applyAlignment="1">
      <alignment horizontal="center" vertical="center" wrapText="1"/>
    </xf>
    <xf numFmtId="0" fontId="20" fillId="3" borderId="52" xfId="0" applyFont="1" applyFill="1" applyBorder="1" applyAlignment="1">
      <alignment horizontal="center" vertical="center" wrapText="1"/>
    </xf>
    <xf numFmtId="0" fontId="20" fillId="3" borderId="53" xfId="0" applyFont="1" applyFill="1" applyBorder="1" applyAlignment="1">
      <alignment horizontal="center" vertical="center" wrapText="1"/>
    </xf>
    <xf numFmtId="165" fontId="20" fillId="7" borderId="26" xfId="4" applyNumberFormat="1" applyFont="1" applyFill="1" applyBorder="1" applyAlignment="1">
      <alignment horizontal="center" vertical="center" wrapText="1"/>
    </xf>
    <xf numFmtId="164" fontId="20" fillId="7" borderId="26" xfId="4" applyNumberFormat="1" applyFont="1" applyFill="1" applyBorder="1" applyAlignment="1">
      <alignment horizontal="center" vertical="center" wrapText="1"/>
    </xf>
    <xf numFmtId="165" fontId="20" fillId="7" borderId="30" xfId="4" applyNumberFormat="1" applyFont="1" applyFill="1" applyBorder="1" applyAlignment="1">
      <alignment horizontal="center" vertical="center" wrapText="1"/>
    </xf>
    <xf numFmtId="164" fontId="20" fillId="7" borderId="30" xfId="4" applyNumberFormat="1" applyFont="1" applyFill="1" applyBorder="1" applyAlignment="1">
      <alignment horizontal="center" vertical="center" wrapText="1"/>
    </xf>
    <xf numFmtId="8" fontId="14" fillId="7" borderId="59" xfId="0" applyNumberFormat="1" applyFont="1" applyFill="1" applyBorder="1" applyAlignment="1">
      <alignment horizontal="center" vertical="center" wrapText="1"/>
    </xf>
    <xf numFmtId="6" fontId="14" fillId="7" borderId="60" xfId="0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3" fillId="0" borderId="0" xfId="0" applyFont="1" applyAlignment="1">
      <alignment wrapText="1"/>
    </xf>
    <xf numFmtId="165" fontId="22" fillId="0" borderId="0" xfId="0" applyNumberFormat="1" applyFont="1" applyAlignment="1">
      <alignment wrapText="1"/>
    </xf>
    <xf numFmtId="164" fontId="22" fillId="0" borderId="0" xfId="0" applyNumberFormat="1" applyFont="1" applyAlignment="1">
      <alignment wrapText="1"/>
    </xf>
    <xf numFmtId="165" fontId="11" fillId="0" borderId="0" xfId="0" applyNumberFormat="1" applyFont="1" applyAlignment="1">
      <alignment wrapText="1"/>
    </xf>
    <xf numFmtId="164" fontId="11" fillId="0" borderId="0" xfId="0" applyNumberFormat="1" applyFont="1" applyAlignment="1">
      <alignment wrapText="1"/>
    </xf>
    <xf numFmtId="165" fontId="23" fillId="0" borderId="0" xfId="0" applyNumberFormat="1" applyFont="1" applyAlignment="1">
      <alignment wrapText="1"/>
    </xf>
    <xf numFmtId="164" fontId="23" fillId="0" borderId="0" xfId="0" applyNumberFormat="1" applyFont="1" applyAlignment="1">
      <alignment wrapText="1"/>
    </xf>
    <xf numFmtId="2" fontId="23" fillId="0" borderId="0" xfId="0" applyNumberFormat="1" applyFont="1" applyAlignment="1">
      <alignment wrapText="1"/>
    </xf>
    <xf numFmtId="1" fontId="2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24" fillId="0" borderId="0" xfId="0" applyFont="1" applyAlignment="1">
      <alignment horizontal="left" vertical="top" wrapText="1"/>
    </xf>
    <xf numFmtId="0" fontId="2" fillId="2" borderId="13" xfId="0" applyFont="1" applyFill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4" fillId="0" borderId="64" xfId="0" applyFont="1" applyBorder="1" applyAlignment="1">
      <alignment wrapText="1"/>
    </xf>
    <xf numFmtId="0" fontId="4" fillId="0" borderId="65" xfId="0" applyFont="1" applyBorder="1" applyAlignment="1">
      <alignment wrapText="1"/>
    </xf>
    <xf numFmtId="0" fontId="6" fillId="0" borderId="47" xfId="2" applyFont="1" applyBorder="1" applyAlignment="1">
      <alignment horizontal="center" vertical="center" wrapText="1"/>
    </xf>
    <xf numFmtId="164" fontId="10" fillId="0" borderId="66" xfId="2" applyNumberFormat="1" applyFont="1" applyBorder="1" applyAlignment="1">
      <alignment horizontal="center" vertical="center" wrapText="1"/>
    </xf>
    <xf numFmtId="164" fontId="4" fillId="0" borderId="66" xfId="0" applyNumberFormat="1" applyFont="1" applyBorder="1" applyAlignment="1">
      <alignment vertical="center"/>
    </xf>
    <xf numFmtId="164" fontId="4" fillId="0" borderId="67" xfId="0" applyNumberFormat="1" applyFont="1" applyBorder="1" applyAlignment="1">
      <alignment horizontal="center" vertical="center" wrapText="1"/>
    </xf>
    <xf numFmtId="164" fontId="4" fillId="0" borderId="68" xfId="0" applyNumberFormat="1" applyFont="1" applyBorder="1" applyAlignment="1">
      <alignment horizontal="center" vertical="center" wrapText="1"/>
    </xf>
    <xf numFmtId="164" fontId="4" fillId="0" borderId="67" xfId="0" applyNumberFormat="1" applyFont="1" applyBorder="1" applyAlignment="1">
      <alignment horizontal="center" vertical="center"/>
    </xf>
    <xf numFmtId="164" fontId="4" fillId="0" borderId="68" xfId="0" applyNumberFormat="1" applyFont="1" applyBorder="1" applyAlignment="1">
      <alignment horizontal="center" vertical="center"/>
    </xf>
    <xf numFmtId="164" fontId="4" fillId="0" borderId="66" xfId="0" applyNumberFormat="1" applyFont="1" applyBorder="1" applyAlignment="1">
      <alignment wrapText="1"/>
    </xf>
    <xf numFmtId="0" fontId="11" fillId="4" borderId="46" xfId="2" applyFont="1" applyFill="1" applyBorder="1" applyAlignment="1">
      <alignment horizontal="center" vertical="center" wrapText="1"/>
    </xf>
    <xf numFmtId="0" fontId="11" fillId="6" borderId="46" xfId="2" applyFont="1" applyFill="1" applyBorder="1" applyAlignment="1">
      <alignment horizontal="center" vertical="center" wrapText="1"/>
    </xf>
    <xf numFmtId="10" fontId="20" fillId="3" borderId="61" xfId="1" applyNumberFormat="1" applyFont="1" applyFill="1" applyBorder="1" applyAlignment="1">
      <alignment horizontal="center" vertical="center" wrapText="1"/>
    </xf>
    <xf numFmtId="0" fontId="20" fillId="3" borderId="62" xfId="0" applyFont="1" applyFill="1" applyBorder="1" applyAlignment="1">
      <alignment horizontal="center" vertical="center" wrapText="1"/>
    </xf>
    <xf numFmtId="0" fontId="20" fillId="3" borderId="63" xfId="0" applyFont="1" applyFill="1" applyBorder="1" applyAlignment="1">
      <alignment horizontal="center" vertical="center" wrapText="1"/>
    </xf>
    <xf numFmtId="165" fontId="20" fillId="6" borderId="40" xfId="4" applyNumberFormat="1" applyFont="1" applyFill="1" applyBorder="1" applyAlignment="1">
      <alignment horizontal="center" vertical="center" wrapText="1"/>
    </xf>
    <xf numFmtId="164" fontId="20" fillId="6" borderId="40" xfId="4" applyNumberFormat="1" applyFont="1" applyFill="1" applyBorder="1" applyAlignment="1">
      <alignment horizontal="center" vertical="center" wrapText="1"/>
    </xf>
    <xf numFmtId="165" fontId="15" fillId="7" borderId="40" xfId="4" applyNumberFormat="1" applyFont="1" applyFill="1" applyBorder="1" applyAlignment="1">
      <alignment horizontal="center" vertical="center" wrapText="1"/>
    </xf>
    <xf numFmtId="165" fontId="4" fillId="0" borderId="40" xfId="0" applyNumberFormat="1" applyFont="1" applyBorder="1" applyAlignment="1">
      <alignment wrapText="1"/>
    </xf>
    <xf numFmtId="164" fontId="4" fillId="0" borderId="40" xfId="0" applyNumberFormat="1" applyFont="1" applyBorder="1" applyAlignment="1">
      <alignment wrapText="1"/>
    </xf>
    <xf numFmtId="164" fontId="4" fillId="0" borderId="69" xfId="0" applyNumberFormat="1" applyFont="1" applyBorder="1" applyAlignment="1">
      <alignment wrapText="1"/>
    </xf>
  </cellXfs>
  <cellStyles count="5">
    <cellStyle name="Normal" xfId="0" builtinId="0"/>
    <cellStyle name="Normal 2" xfId="3" xr:uid="{1759AC4A-1F61-4B91-92A2-13F12D1B1620}"/>
    <cellStyle name="Normal 4" xfId="2" xr:uid="{3AC04B99-A780-4DAE-BC3F-0C72B65F72F8}"/>
    <cellStyle name="Percent" xfId="1" builtinId="5"/>
    <cellStyle name="Percent 2" xfId="4" xr:uid="{A9348F88-B8BA-4BC0-8C34-4FC6A092A4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4359-6BC0-4703-8BDB-D8DB6BD70740}">
  <dimension ref="A1:W54"/>
  <sheetViews>
    <sheetView tabSelected="1" workbookViewId="0">
      <selection activeCell="A40" sqref="A40"/>
    </sheetView>
  </sheetViews>
  <sheetFormatPr defaultRowHeight="15.75" x14ac:dyDescent="0.25"/>
  <cols>
    <col min="1" max="1" width="12.42578125" style="279" customWidth="1"/>
    <col min="2" max="3" width="8.28515625" style="279" customWidth="1"/>
    <col min="4" max="4" width="7.85546875" style="279" customWidth="1"/>
    <col min="5" max="7" width="9.140625" style="1" hidden="1" customWidth="1"/>
    <col min="8" max="9" width="8.28515625" style="280" hidden="1" customWidth="1"/>
    <col min="10" max="11" width="8.28515625" style="1" hidden="1" customWidth="1"/>
    <col min="12" max="12" width="9.42578125" style="281" customWidth="1"/>
    <col min="13" max="13" width="9.42578125" style="282" customWidth="1"/>
    <col min="14" max="14" width="10.5703125" style="283" customWidth="1"/>
    <col min="15" max="15" width="9.5703125" style="284" customWidth="1"/>
    <col min="16" max="16" width="9.85546875" style="285" customWidth="1"/>
    <col min="17" max="17" width="9.85546875" style="286" customWidth="1"/>
    <col min="18" max="18" width="10.140625" style="287" customWidth="1"/>
    <col min="19" max="19" width="9.85546875" style="288" customWidth="1"/>
    <col min="20" max="20" width="11.42578125" style="1" customWidth="1"/>
    <col min="21" max="21" width="10.7109375" style="1" customWidth="1"/>
    <col min="22" max="22" width="11.85546875" style="1" customWidth="1"/>
    <col min="23" max="23" width="13.28515625" style="1" customWidth="1"/>
  </cols>
  <sheetData>
    <row r="1" spans="1:23" x14ac:dyDescent="0.25">
      <c r="A1" s="291" t="s">
        <v>53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3"/>
      <c r="S1" s="293"/>
      <c r="T1" s="294"/>
      <c r="U1" s="294"/>
      <c r="V1" s="294"/>
      <c r="W1" s="295"/>
    </row>
    <row r="2" spans="1:23" ht="79.5" thickBot="1" x14ac:dyDescent="0.3">
      <c r="A2" s="296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5" t="s">
        <v>6</v>
      </c>
      <c r="H2" s="6" t="s">
        <v>7</v>
      </c>
      <c r="I2" s="6" t="s">
        <v>8</v>
      </c>
      <c r="J2" s="7" t="s">
        <v>9</v>
      </c>
      <c r="K2" s="7" t="s">
        <v>10</v>
      </c>
      <c r="L2" s="8" t="s">
        <v>11</v>
      </c>
      <c r="M2" s="9" t="s">
        <v>12</v>
      </c>
      <c r="N2" s="10" t="s">
        <v>13</v>
      </c>
      <c r="O2" s="11" t="s">
        <v>14</v>
      </c>
      <c r="P2" s="12" t="s">
        <v>15</v>
      </c>
      <c r="Q2" s="13" t="s">
        <v>16</v>
      </c>
      <c r="R2" s="14" t="s">
        <v>17</v>
      </c>
      <c r="S2" s="15" t="s">
        <v>18</v>
      </c>
      <c r="T2" s="16" t="s">
        <v>19</v>
      </c>
      <c r="U2" s="17" t="s">
        <v>20</v>
      </c>
      <c r="V2" s="16" t="s">
        <v>21</v>
      </c>
      <c r="W2" s="297" t="s">
        <v>22</v>
      </c>
    </row>
    <row r="3" spans="1:23" ht="32.25" thickBot="1" x14ac:dyDescent="0.3">
      <c r="A3" s="18" t="s">
        <v>23</v>
      </c>
      <c r="B3" s="19" t="s">
        <v>24</v>
      </c>
      <c r="C3" s="19" t="s">
        <v>25</v>
      </c>
      <c r="D3" s="20">
        <v>1</v>
      </c>
      <c r="E3" s="21" t="e">
        <f>(#REF!/#REF!)-1</f>
        <v>#REF!</v>
      </c>
      <c r="F3" s="22" t="e">
        <f>1+SUM(#REF!)/5</f>
        <v>#REF!</v>
      </c>
      <c r="G3" s="23" t="e">
        <f>SUM(#REF!)/5</f>
        <v>#REF!</v>
      </c>
      <c r="H3" s="24">
        <v>9.9</v>
      </c>
      <c r="I3" s="25">
        <f>SUM(H3*40)*52</f>
        <v>20592</v>
      </c>
      <c r="J3" s="26" t="e">
        <f>H3*#REF!</f>
        <v>#REF!</v>
      </c>
      <c r="K3" s="27" t="e">
        <f>SUM(J3*40)*52</f>
        <v>#REF!</v>
      </c>
      <c r="L3" s="28">
        <v>10.9</v>
      </c>
      <c r="M3" s="29">
        <v>22670</v>
      </c>
      <c r="N3" s="30">
        <f>SUM(O3/52)/40</f>
        <v>11.379807692307692</v>
      </c>
      <c r="O3" s="31">
        <v>23670</v>
      </c>
      <c r="P3" s="32">
        <f>L3*1.08</f>
        <v>11.772000000000002</v>
      </c>
      <c r="Q3" s="33">
        <f>SUM(P3*40)*52</f>
        <v>24485.760000000006</v>
      </c>
      <c r="R3" s="34">
        <v>12</v>
      </c>
      <c r="S3" s="35">
        <f>SUM(R3*40)*52.14</f>
        <v>25027.200000000001</v>
      </c>
      <c r="T3" s="36">
        <f>(U3/40)/52</f>
        <v>12.465000000000002</v>
      </c>
      <c r="U3" s="37">
        <f>S3+900</f>
        <v>25927.200000000001</v>
      </c>
      <c r="V3" s="36">
        <f>(W3/40)/52</f>
        <v>12.60923076923077</v>
      </c>
      <c r="W3" s="298">
        <f>U3+300</f>
        <v>26227.200000000001</v>
      </c>
    </row>
    <row r="4" spans="1:23" ht="16.5" thickBot="1" x14ac:dyDescent="0.3">
      <c r="A4" s="38" t="s">
        <v>26</v>
      </c>
      <c r="B4" s="39" t="s">
        <v>27</v>
      </c>
      <c r="C4" s="39" t="s">
        <v>28</v>
      </c>
      <c r="D4" s="40">
        <v>2</v>
      </c>
      <c r="E4" s="21">
        <v>1.77E-2</v>
      </c>
      <c r="F4" s="41"/>
      <c r="G4" s="42"/>
      <c r="H4" s="43">
        <v>10</v>
      </c>
      <c r="I4" s="44">
        <f>SUM(H4*40)*52</f>
        <v>20800</v>
      </c>
      <c r="J4" s="45" t="e">
        <f>H4*#REF!</f>
        <v>#REF!</v>
      </c>
      <c r="K4" s="46" t="e">
        <f>SUM(J4*40)*52</f>
        <v>#REF!</v>
      </c>
      <c r="L4" s="47">
        <v>11.01</v>
      </c>
      <c r="M4" s="48">
        <v>22899</v>
      </c>
      <c r="N4" s="49">
        <f>SUM(O4/52)/40</f>
        <v>11.489903846153847</v>
      </c>
      <c r="O4" s="50">
        <v>23899</v>
      </c>
      <c r="P4" s="51">
        <f>L4*1.075</f>
        <v>11.835749999999999</v>
      </c>
      <c r="Q4" s="52">
        <f>SUM(P4*40)*52</f>
        <v>24618.359999999997</v>
      </c>
      <c r="R4" s="53">
        <f>P4*1.0194</f>
        <v>12.065363550000001</v>
      </c>
      <c r="S4" s="54">
        <f t="shared" ref="S4:S11" si="0">SUM(R4*40)*52.14</f>
        <v>25163.52221988</v>
      </c>
      <c r="T4" s="55">
        <f t="shared" ref="T4:T37" si="1">(U4/40)/52</f>
        <v>12.530539528788463</v>
      </c>
      <c r="U4" s="56">
        <f t="shared" ref="U4:U11" si="2">S4+900</f>
        <v>26063.52221988</v>
      </c>
      <c r="V4" s="57">
        <f t="shared" ref="V4:V16" si="3">(W4/40)/52</f>
        <v>12.674770298019231</v>
      </c>
      <c r="W4" s="299">
        <f t="shared" ref="W4:W16" si="4">U4+300</f>
        <v>26363.52221988</v>
      </c>
    </row>
    <row r="5" spans="1:23" ht="16.5" thickBot="1" x14ac:dyDescent="0.3">
      <c r="A5" s="58"/>
      <c r="B5" s="59"/>
      <c r="C5" s="59"/>
      <c r="D5" s="60"/>
      <c r="E5" s="21" t="e">
        <f>(#REF!/#REF!)-1</f>
        <v>#REF!</v>
      </c>
      <c r="F5" s="41"/>
      <c r="G5" s="42"/>
      <c r="H5" s="61"/>
      <c r="I5" s="61"/>
      <c r="J5" s="60"/>
      <c r="K5" s="60"/>
      <c r="L5" s="62"/>
      <c r="M5" s="63"/>
      <c r="N5" s="64"/>
      <c r="O5" s="65"/>
      <c r="P5" s="66"/>
      <c r="Q5" s="67"/>
      <c r="R5" s="68"/>
      <c r="S5" s="69"/>
      <c r="T5" s="70"/>
      <c r="U5" s="71"/>
      <c r="V5" s="72"/>
      <c r="W5" s="300"/>
    </row>
    <row r="6" spans="1:23" ht="16.5" thickBot="1" x14ac:dyDescent="0.3">
      <c r="A6" s="73" t="s">
        <v>29</v>
      </c>
      <c r="B6" s="74" t="s">
        <v>30</v>
      </c>
      <c r="C6" s="74" t="s">
        <v>31</v>
      </c>
      <c r="D6" s="40">
        <v>3</v>
      </c>
      <c r="E6" s="21" t="e">
        <f>(#REF!/#REF!)-1</f>
        <v>#REF!</v>
      </c>
      <c r="F6" s="41"/>
      <c r="G6" s="42"/>
      <c r="H6" s="75">
        <v>10.131545550674989</v>
      </c>
      <c r="I6" s="76">
        <v>21073.614745403975</v>
      </c>
      <c r="J6" s="77" t="e">
        <f>H6*#REF!</f>
        <v>#REF!</v>
      </c>
      <c r="K6" s="78" t="e">
        <f>SUM(J6*40)*52</f>
        <v>#REF!</v>
      </c>
      <c r="L6" s="79">
        <v>11.15</v>
      </c>
      <c r="M6" s="80">
        <v>23200</v>
      </c>
      <c r="N6" s="81">
        <f>SUM(O6/52)/40</f>
        <v>11.634615384615383</v>
      </c>
      <c r="O6" s="82">
        <v>24200</v>
      </c>
      <c r="P6" s="83">
        <f>L6*1.075</f>
        <v>11.98625</v>
      </c>
      <c r="Q6" s="84">
        <f>SUM(P6*40)*52</f>
        <v>24931.399999999998</v>
      </c>
      <c r="R6" s="53">
        <f>P6*1.0194</f>
        <v>12.218783250000001</v>
      </c>
      <c r="S6" s="54">
        <f t="shared" si="0"/>
        <v>25483.494346200005</v>
      </c>
      <c r="T6" s="55">
        <f t="shared" si="1"/>
        <v>12.684372281826926</v>
      </c>
      <c r="U6" s="85">
        <f t="shared" si="2"/>
        <v>26383.494346200005</v>
      </c>
      <c r="V6" s="55">
        <f t="shared" si="3"/>
        <v>12.828603051057694</v>
      </c>
      <c r="W6" s="301">
        <f t="shared" si="4"/>
        <v>26683.494346200005</v>
      </c>
    </row>
    <row r="7" spans="1:23" ht="16.5" thickBot="1" x14ac:dyDescent="0.3">
      <c r="A7" s="58"/>
      <c r="B7" s="59"/>
      <c r="C7" s="59"/>
      <c r="D7" s="60"/>
      <c r="E7" s="21" t="e">
        <f>(#REF!/#REF!)-1</f>
        <v>#REF!</v>
      </c>
      <c r="F7" s="41"/>
      <c r="G7" s="42"/>
      <c r="H7" s="61"/>
      <c r="I7" s="61"/>
      <c r="J7" s="59"/>
      <c r="K7" s="86"/>
      <c r="L7" s="87"/>
      <c r="M7" s="88"/>
      <c r="N7" s="89"/>
      <c r="O7" s="65"/>
      <c r="P7" s="90"/>
      <c r="Q7" s="67"/>
      <c r="R7" s="68"/>
      <c r="S7" s="69"/>
      <c r="T7" s="70"/>
      <c r="U7" s="91"/>
      <c r="V7" s="70"/>
      <c r="W7" s="302"/>
    </row>
    <row r="8" spans="1:23" ht="16.5" thickBot="1" x14ac:dyDescent="0.3">
      <c r="A8" s="38" t="s">
        <v>32</v>
      </c>
      <c r="B8" s="39" t="s">
        <v>33</v>
      </c>
      <c r="C8" s="39" t="s">
        <v>34</v>
      </c>
      <c r="D8" s="92">
        <v>4</v>
      </c>
      <c r="E8" s="93" t="e">
        <f>(#REF!/#REF!)-1</f>
        <v>#REF!</v>
      </c>
      <c r="F8" s="94" t="e">
        <f>1+SUM(#REF!)/6</f>
        <v>#REF!</v>
      </c>
      <c r="G8" s="95" t="e">
        <f>SUM(#REF!)/6</f>
        <v>#REF!</v>
      </c>
      <c r="H8" s="96">
        <v>10.393790831325864</v>
      </c>
      <c r="I8" s="97">
        <v>21619.084929157798</v>
      </c>
      <c r="J8" s="98" t="e">
        <f>H8*#REF!</f>
        <v>#REF!</v>
      </c>
      <c r="K8" s="99" t="e">
        <f t="shared" ref="K8:K37" si="5">SUM(J8*40)*52</f>
        <v>#REF!</v>
      </c>
      <c r="L8" s="100">
        <v>11.34</v>
      </c>
      <c r="M8" s="101">
        <v>23582</v>
      </c>
      <c r="N8" s="102">
        <f>SUM(O8/52)/40</f>
        <v>11.81826923076923</v>
      </c>
      <c r="O8" s="103">
        <v>24582</v>
      </c>
      <c r="P8" s="104">
        <f>L8*1.07</f>
        <v>12.133800000000001</v>
      </c>
      <c r="Q8" s="105">
        <f t="shared" ref="Q8:Q37" si="6">SUM(P8*40)*52</f>
        <v>25238.304</v>
      </c>
      <c r="R8" s="106">
        <f>P8*1.0194</f>
        <v>12.369195720000002</v>
      </c>
      <c r="S8" s="107">
        <f t="shared" si="0"/>
        <v>25797.194593632004</v>
      </c>
      <c r="T8" s="108">
        <f t="shared" si="1"/>
        <v>12.835189708476925</v>
      </c>
      <c r="U8" s="109">
        <f t="shared" si="2"/>
        <v>26697.194593632004</v>
      </c>
      <c r="V8" s="108">
        <f t="shared" si="3"/>
        <v>12.979420477707693</v>
      </c>
      <c r="W8" s="303">
        <f t="shared" si="4"/>
        <v>26997.194593632004</v>
      </c>
    </row>
    <row r="9" spans="1:23" ht="16.5" thickBot="1" x14ac:dyDescent="0.3">
      <c r="A9" s="110"/>
      <c r="B9" s="60"/>
      <c r="C9" s="60"/>
      <c r="D9" s="111">
        <v>5</v>
      </c>
      <c r="E9" s="112" t="e">
        <f>(#REF!/#REF!)-1</f>
        <v>#REF!</v>
      </c>
      <c r="F9" s="113"/>
      <c r="G9" s="113"/>
      <c r="H9" s="114">
        <v>10.563182241732893</v>
      </c>
      <c r="I9" s="115">
        <v>21971.419062804416</v>
      </c>
      <c r="J9" s="114" t="e">
        <f>H9*#REF!</f>
        <v>#REF!</v>
      </c>
      <c r="K9" s="115" t="e">
        <f t="shared" si="5"/>
        <v>#REF!</v>
      </c>
      <c r="L9" s="116">
        <v>11.36</v>
      </c>
      <c r="M9" s="117">
        <v>23619</v>
      </c>
      <c r="N9" s="114">
        <f>SUM(O9/52)/40</f>
        <v>11.836057692307692</v>
      </c>
      <c r="O9" s="118">
        <v>24619</v>
      </c>
      <c r="P9" s="119">
        <f>L9*1.07</f>
        <v>12.155200000000001</v>
      </c>
      <c r="Q9" s="118">
        <f>SUM(P9*40)*52</f>
        <v>25282.816000000003</v>
      </c>
      <c r="R9" s="120">
        <f>P9*1.0194</f>
        <v>12.391010880000001</v>
      </c>
      <c r="S9" s="121">
        <f t="shared" si="0"/>
        <v>25842.692291328003</v>
      </c>
      <c r="T9" s="108">
        <f t="shared" si="1"/>
        <v>12.857063601600002</v>
      </c>
      <c r="U9" s="109">
        <f t="shared" si="2"/>
        <v>26742.692291328003</v>
      </c>
      <c r="V9" s="108">
        <f t="shared" si="3"/>
        <v>13.00129437083077</v>
      </c>
      <c r="W9" s="303">
        <f t="shared" si="4"/>
        <v>27042.692291328003</v>
      </c>
    </row>
    <row r="10" spans="1:23" ht="16.5" thickBot="1" x14ac:dyDescent="0.3">
      <c r="A10" s="110"/>
      <c r="B10" s="60"/>
      <c r="C10" s="60"/>
      <c r="D10" s="122">
        <v>6</v>
      </c>
      <c r="E10" s="123" t="e">
        <f>(#REF!/#REF!)-1</f>
        <v>#REF!</v>
      </c>
      <c r="F10" s="124"/>
      <c r="G10" s="124"/>
      <c r="H10" s="125">
        <v>10.704027533665675</v>
      </c>
      <c r="I10" s="126">
        <v>22264.377270024605</v>
      </c>
      <c r="J10" s="125" t="e">
        <f>H10*#REF!</f>
        <v>#REF!</v>
      </c>
      <c r="K10" s="126" t="e">
        <f t="shared" si="5"/>
        <v>#REF!</v>
      </c>
      <c r="L10" s="127">
        <v>11.47</v>
      </c>
      <c r="M10" s="128">
        <v>23867</v>
      </c>
      <c r="N10" s="129">
        <f>SUM(O10/52)/40</f>
        <v>11.955288461538462</v>
      </c>
      <c r="O10" s="130">
        <v>24867</v>
      </c>
      <c r="P10" s="131">
        <f>L10*1.07</f>
        <v>12.272900000000002</v>
      </c>
      <c r="Q10" s="130">
        <f>SUM(P10*40)*52</f>
        <v>25527.632000000001</v>
      </c>
      <c r="R10" s="120">
        <f>P10*1.0194</f>
        <v>12.510994260000002</v>
      </c>
      <c r="S10" s="121">
        <f t="shared" si="0"/>
        <v>26092.929628656006</v>
      </c>
      <c r="T10" s="108">
        <f t="shared" si="1"/>
        <v>12.977370013776927</v>
      </c>
      <c r="U10" s="109">
        <f t="shared" si="2"/>
        <v>26992.929628656006</v>
      </c>
      <c r="V10" s="108">
        <f t="shared" si="3"/>
        <v>13.121600783007695</v>
      </c>
      <c r="W10" s="303">
        <f t="shared" si="4"/>
        <v>27292.929628656006</v>
      </c>
    </row>
    <row r="11" spans="1:23" x14ac:dyDescent="0.25">
      <c r="A11" s="132" t="s">
        <v>35</v>
      </c>
      <c r="B11" s="133" t="s">
        <v>36</v>
      </c>
      <c r="C11" s="133" t="s">
        <v>37</v>
      </c>
      <c r="D11" s="92">
        <v>7</v>
      </c>
      <c r="E11" s="93" t="e">
        <f>(#REF!/#REF!)-1</f>
        <v>#REF!</v>
      </c>
      <c r="F11" s="134"/>
      <c r="G11" s="134"/>
      <c r="H11" s="135">
        <v>10.948355449425744</v>
      </c>
      <c r="I11" s="136">
        <v>22772.579334805549</v>
      </c>
      <c r="J11" s="135" t="e">
        <f>H11*#REF!</f>
        <v>#REF!</v>
      </c>
      <c r="K11" s="136" t="e">
        <f t="shared" si="5"/>
        <v>#REF!</v>
      </c>
      <c r="L11" s="137">
        <v>11.69</v>
      </c>
      <c r="M11" s="138">
        <v>24321</v>
      </c>
      <c r="N11" s="135">
        <f t="shared" ref="N11:N30" si="7">SUM(O11/52)/40</f>
        <v>12.173557692307693</v>
      </c>
      <c r="O11" s="139">
        <v>25321</v>
      </c>
      <c r="P11" s="140">
        <f t="shared" ref="P11:P16" si="8">L11*1.06</f>
        <v>12.391400000000001</v>
      </c>
      <c r="Q11" s="139">
        <f t="shared" si="6"/>
        <v>25774.112000000005</v>
      </c>
      <c r="R11" s="120">
        <f>P11*1.0194</f>
        <v>12.631793160000003</v>
      </c>
      <c r="S11" s="121">
        <f t="shared" si="0"/>
        <v>26344.867814496007</v>
      </c>
      <c r="T11" s="108">
        <f t="shared" si="1"/>
        <v>13.098494141584618</v>
      </c>
      <c r="U11" s="109">
        <f t="shared" si="2"/>
        <v>27244.867814496007</v>
      </c>
      <c r="V11" s="108">
        <f t="shared" si="3"/>
        <v>13.242724910815387</v>
      </c>
      <c r="W11" s="303">
        <f t="shared" si="4"/>
        <v>27544.867814496007</v>
      </c>
    </row>
    <row r="12" spans="1:23" x14ac:dyDescent="0.25">
      <c r="A12" s="141"/>
      <c r="B12" s="142"/>
      <c r="C12" s="142"/>
      <c r="D12" s="111">
        <v>8</v>
      </c>
      <c r="E12" s="143" t="e">
        <f>(#REF!/#REF!)-1</f>
        <v>#REF!</v>
      </c>
      <c r="F12" s="144"/>
      <c r="G12" s="144"/>
      <c r="H12" s="145">
        <v>11.273610804302212</v>
      </c>
      <c r="I12" s="146">
        <v>23449.1104729486</v>
      </c>
      <c r="J12" s="147" t="e">
        <f>H12*#REF!</f>
        <v>#REF!</v>
      </c>
      <c r="K12" s="148" t="e">
        <f t="shared" si="5"/>
        <v>#REF!</v>
      </c>
      <c r="L12" s="149">
        <v>11.97</v>
      </c>
      <c r="M12" s="150">
        <v>24903</v>
      </c>
      <c r="N12" s="151">
        <f t="shared" si="7"/>
        <v>12.453365384615385</v>
      </c>
      <c r="O12" s="152">
        <v>25903</v>
      </c>
      <c r="P12" s="153">
        <f t="shared" si="8"/>
        <v>12.688200000000002</v>
      </c>
      <c r="Q12" s="154">
        <f t="shared" si="6"/>
        <v>26391.456000000006</v>
      </c>
      <c r="R12" s="155"/>
      <c r="S12" s="156"/>
      <c r="T12" s="108">
        <f t="shared" si="1"/>
        <v>13.120892307692312</v>
      </c>
      <c r="U12" s="109">
        <f>Q12+900</f>
        <v>27291.456000000006</v>
      </c>
      <c r="V12" s="108">
        <f t="shared" si="3"/>
        <v>13.26512307692308</v>
      </c>
      <c r="W12" s="303">
        <f t="shared" si="4"/>
        <v>27591.456000000006</v>
      </c>
    </row>
    <row r="13" spans="1:23" ht="16.5" thickBot="1" x14ac:dyDescent="0.3">
      <c r="A13" s="157"/>
      <c r="B13" s="158"/>
      <c r="C13" s="158"/>
      <c r="D13" s="122">
        <v>9</v>
      </c>
      <c r="E13" s="159" t="e">
        <f>(#REF!/#REF!)-1</f>
        <v>#REF!</v>
      </c>
      <c r="F13" s="160"/>
      <c r="G13" s="160"/>
      <c r="H13" s="161">
        <v>11.598345750610875</v>
      </c>
      <c r="I13" s="162">
        <v>24124.559161270619</v>
      </c>
      <c r="J13" s="163" t="e">
        <f>H13*#REF!</f>
        <v>#REF!</v>
      </c>
      <c r="K13" s="164" t="e">
        <f t="shared" si="5"/>
        <v>#REF!</v>
      </c>
      <c r="L13" s="165">
        <v>12.27</v>
      </c>
      <c r="M13" s="166">
        <v>25524</v>
      </c>
      <c r="N13" s="167">
        <f t="shared" si="7"/>
        <v>12.751923076923077</v>
      </c>
      <c r="O13" s="168">
        <v>26524</v>
      </c>
      <c r="P13" s="169">
        <f t="shared" si="8"/>
        <v>13.0062</v>
      </c>
      <c r="Q13" s="170">
        <f t="shared" si="6"/>
        <v>27052.896000000001</v>
      </c>
      <c r="R13" s="155"/>
      <c r="S13" s="171"/>
      <c r="T13" s="108">
        <f t="shared" si="1"/>
        <v>13.438892307692308</v>
      </c>
      <c r="U13" s="109">
        <f t="shared" ref="U13:U37" si="9">Q13+900</f>
        <v>27952.896000000001</v>
      </c>
      <c r="V13" s="108">
        <f t="shared" si="3"/>
        <v>13.583123076923076</v>
      </c>
      <c r="W13" s="303">
        <f t="shared" si="4"/>
        <v>28252.896000000001</v>
      </c>
    </row>
    <row r="14" spans="1:23" x14ac:dyDescent="0.25">
      <c r="A14" s="172" t="s">
        <v>38</v>
      </c>
      <c r="B14" s="173" t="s">
        <v>39</v>
      </c>
      <c r="C14" s="173" t="s">
        <v>40</v>
      </c>
      <c r="D14" s="92">
        <v>10</v>
      </c>
      <c r="E14" s="174" t="e">
        <f>(#REF!/#REF!)-1</f>
        <v>#REF!</v>
      </c>
      <c r="F14" s="175"/>
      <c r="G14" s="175"/>
      <c r="H14" s="96">
        <v>11.822121434765883</v>
      </c>
      <c r="I14" s="97">
        <v>24590.012584313037</v>
      </c>
      <c r="J14" s="98" t="e">
        <f>H14*#REF!</f>
        <v>#REF!</v>
      </c>
      <c r="K14" s="99" t="e">
        <f t="shared" si="5"/>
        <v>#REF!</v>
      </c>
      <c r="L14" s="176">
        <v>12.47</v>
      </c>
      <c r="M14" s="177">
        <v>25942</v>
      </c>
      <c r="N14" s="178">
        <f t="shared" si="7"/>
        <v>12.952884615384615</v>
      </c>
      <c r="O14" s="103">
        <v>26942</v>
      </c>
      <c r="P14" s="179">
        <f t="shared" si="8"/>
        <v>13.218200000000001</v>
      </c>
      <c r="Q14" s="105">
        <f t="shared" si="6"/>
        <v>27493.856000000003</v>
      </c>
      <c r="R14" s="180"/>
      <c r="S14" s="181"/>
      <c r="T14" s="108">
        <f t="shared" si="1"/>
        <v>13.65089230769231</v>
      </c>
      <c r="U14" s="109">
        <f t="shared" si="9"/>
        <v>28393.856000000003</v>
      </c>
      <c r="V14" s="108">
        <f t="shared" si="3"/>
        <v>13.79512307692308</v>
      </c>
      <c r="W14" s="303">
        <f t="shared" si="4"/>
        <v>28693.856000000003</v>
      </c>
    </row>
    <row r="15" spans="1:23" x14ac:dyDescent="0.25">
      <c r="A15" s="182"/>
      <c r="B15" s="183"/>
      <c r="C15" s="183"/>
      <c r="D15" s="111">
        <v>11</v>
      </c>
      <c r="E15" s="143" t="e">
        <f>(#REF!/#REF!)-1</f>
        <v>#REF!</v>
      </c>
      <c r="F15" s="144"/>
      <c r="G15" s="144"/>
      <c r="H15" s="184">
        <v>11.944417448199435</v>
      </c>
      <c r="I15" s="185">
        <v>24844.388292254826</v>
      </c>
      <c r="J15" s="114" t="e">
        <f>H15*#REF!</f>
        <v>#REF!</v>
      </c>
      <c r="K15" s="115" t="e">
        <f t="shared" si="5"/>
        <v>#REF!</v>
      </c>
      <c r="L15" s="186">
        <v>12.54</v>
      </c>
      <c r="M15" s="187">
        <v>26087</v>
      </c>
      <c r="N15" s="188">
        <f t="shared" si="7"/>
        <v>13.022596153846155</v>
      </c>
      <c r="O15" s="189">
        <v>27087</v>
      </c>
      <c r="P15" s="190">
        <f t="shared" si="8"/>
        <v>13.292399999999999</v>
      </c>
      <c r="Q15" s="191">
        <f t="shared" si="6"/>
        <v>27648.191999999995</v>
      </c>
      <c r="R15" s="192"/>
      <c r="S15" s="193"/>
      <c r="T15" s="108">
        <f t="shared" si="1"/>
        <v>13.725092307692305</v>
      </c>
      <c r="U15" s="109">
        <f t="shared" si="9"/>
        <v>28548.191999999995</v>
      </c>
      <c r="V15" s="108">
        <f t="shared" si="3"/>
        <v>13.869323076923074</v>
      </c>
      <c r="W15" s="303">
        <f t="shared" si="4"/>
        <v>28848.191999999995</v>
      </c>
    </row>
    <row r="16" spans="1:23" ht="16.5" thickBot="1" x14ac:dyDescent="0.3">
      <c r="A16" s="194"/>
      <c r="B16" s="195"/>
      <c r="C16" s="195"/>
      <c r="D16" s="122">
        <v>12</v>
      </c>
      <c r="E16" s="196" t="e">
        <f>(#REF!/#REF!)-1</f>
        <v>#REF!</v>
      </c>
      <c r="F16" s="197"/>
      <c r="G16" s="197"/>
      <c r="H16" s="198">
        <v>12.310264671364484</v>
      </c>
      <c r="I16" s="199">
        <v>25605.350516438128</v>
      </c>
      <c r="J16" s="198" t="e">
        <f>H16*#REF!</f>
        <v>#REF!</v>
      </c>
      <c r="K16" s="199" t="e">
        <f t="shared" si="5"/>
        <v>#REF!</v>
      </c>
      <c r="L16" s="200">
        <v>12.9</v>
      </c>
      <c r="M16" s="201">
        <v>26834</v>
      </c>
      <c r="N16" s="202">
        <f t="shared" si="7"/>
        <v>13.381730769230767</v>
      </c>
      <c r="O16" s="203">
        <v>27834</v>
      </c>
      <c r="P16" s="204">
        <f t="shared" si="8"/>
        <v>13.674000000000001</v>
      </c>
      <c r="Q16" s="205">
        <f t="shared" si="6"/>
        <v>28441.920000000002</v>
      </c>
      <c r="R16" s="206"/>
      <c r="S16" s="207"/>
      <c r="T16" s="108">
        <f t="shared" si="1"/>
        <v>14.106692307692308</v>
      </c>
      <c r="U16" s="109">
        <f t="shared" si="9"/>
        <v>29341.920000000002</v>
      </c>
      <c r="V16" s="108">
        <f t="shared" si="3"/>
        <v>14.250923076923076</v>
      </c>
      <c r="W16" s="303">
        <f t="shared" si="4"/>
        <v>29641.920000000002</v>
      </c>
    </row>
    <row r="17" spans="1:23" ht="16.5" thickBot="1" x14ac:dyDescent="0.3">
      <c r="A17" s="304" t="s">
        <v>41</v>
      </c>
      <c r="B17" s="208" t="s">
        <v>42</v>
      </c>
      <c r="C17" s="208" t="s">
        <v>43</v>
      </c>
      <c r="D17" s="209">
        <v>13</v>
      </c>
      <c r="E17" s="210" t="e">
        <f>(#REF!/#REF!)-1</f>
        <v>#REF!</v>
      </c>
      <c r="F17" s="211" t="e">
        <f>1+SUM(E14:E17)/4</f>
        <v>#REF!</v>
      </c>
      <c r="G17" s="212" t="e">
        <f>SUM(E14:E17)/4</f>
        <v>#REF!</v>
      </c>
      <c r="H17" s="213">
        <v>12.610429848509833</v>
      </c>
      <c r="I17" s="214">
        <v>26229.694084900453</v>
      </c>
      <c r="J17" s="135" t="e">
        <f>H17*#REF!</f>
        <v>#REF!</v>
      </c>
      <c r="K17" s="136" t="e">
        <f t="shared" si="5"/>
        <v>#REF!</v>
      </c>
      <c r="L17" s="215">
        <v>13.18</v>
      </c>
      <c r="M17" s="216">
        <v>27410</v>
      </c>
      <c r="N17" s="217">
        <f t="shared" si="7"/>
        <v>13.658653846153845</v>
      </c>
      <c r="O17" s="218">
        <v>28410</v>
      </c>
      <c r="P17" s="219">
        <f>L17*1.06</f>
        <v>13.970800000000001</v>
      </c>
      <c r="Q17" s="220">
        <f t="shared" si="6"/>
        <v>29059.263999999999</v>
      </c>
      <c r="R17" s="221"/>
      <c r="S17" s="222"/>
      <c r="T17" s="108">
        <f t="shared" si="1"/>
        <v>14.403492307692307</v>
      </c>
      <c r="U17" s="109">
        <f t="shared" si="9"/>
        <v>29959.263999999999</v>
      </c>
      <c r="V17" s="108">
        <f>(W17/40)/52</f>
        <v>14.523684615384614</v>
      </c>
      <c r="W17" s="303">
        <f>U17+250</f>
        <v>30209.263999999999</v>
      </c>
    </row>
    <row r="18" spans="1:23" ht="16.5" thickTop="1" x14ac:dyDescent="0.25">
      <c r="A18" s="182"/>
      <c r="B18" s="183"/>
      <c r="C18" s="183"/>
      <c r="D18" s="111">
        <v>14</v>
      </c>
      <c r="E18" s="223" t="e">
        <f>(#REF!/#REF!)-1</f>
        <v>#REF!</v>
      </c>
      <c r="F18" s="224"/>
      <c r="G18" s="225"/>
      <c r="H18" s="145">
        <v>13.123979107909715</v>
      </c>
      <c r="I18" s="146">
        <v>27297.876544452207</v>
      </c>
      <c r="J18" s="147" t="e">
        <f>H18*#REF!</f>
        <v>#REF!</v>
      </c>
      <c r="K18" s="148" t="e">
        <f t="shared" si="5"/>
        <v>#REF!</v>
      </c>
      <c r="L18" s="149">
        <v>13.65</v>
      </c>
      <c r="M18" s="150">
        <v>28390</v>
      </c>
      <c r="N18" s="151">
        <f t="shared" si="7"/>
        <v>14.129807692307693</v>
      </c>
      <c r="O18" s="152">
        <v>29390</v>
      </c>
      <c r="P18" s="153">
        <f>L18*1.05</f>
        <v>14.332500000000001</v>
      </c>
      <c r="Q18" s="154">
        <f t="shared" si="6"/>
        <v>29811.600000000002</v>
      </c>
      <c r="R18" s="155"/>
      <c r="S18" s="156"/>
      <c r="T18" s="108">
        <f t="shared" si="1"/>
        <v>14.76519230769231</v>
      </c>
      <c r="U18" s="109">
        <f t="shared" si="9"/>
        <v>30711.600000000002</v>
      </c>
      <c r="V18" s="108">
        <f t="shared" ref="V18:V37" si="10">(W18/40)/52</f>
        <v>14.885384615384616</v>
      </c>
      <c r="W18" s="303">
        <f t="shared" ref="W18:W25" si="11">U18+250</f>
        <v>30961.600000000002</v>
      </c>
    </row>
    <row r="19" spans="1:23" ht="16.5" thickBot="1" x14ac:dyDescent="0.3">
      <c r="A19" s="182"/>
      <c r="B19" s="183"/>
      <c r="C19" s="183"/>
      <c r="D19" s="226">
        <v>15</v>
      </c>
      <c r="E19" s="227" t="e">
        <f>(#REF!/#REF!)-1</f>
        <v>#REF!</v>
      </c>
      <c r="F19" s="228"/>
      <c r="G19" s="229"/>
      <c r="H19" s="230">
        <v>13.23631800840344</v>
      </c>
      <c r="I19" s="231">
        <v>27531.541457479158</v>
      </c>
      <c r="J19" s="163" t="e">
        <f>H19*#REF!</f>
        <v>#REF!</v>
      </c>
      <c r="K19" s="164" t="e">
        <f t="shared" si="5"/>
        <v>#REF!</v>
      </c>
      <c r="L19" s="165">
        <v>13.74</v>
      </c>
      <c r="M19" s="166">
        <v>28578</v>
      </c>
      <c r="N19" s="167">
        <f t="shared" si="7"/>
        <v>14.220192307692306</v>
      </c>
      <c r="O19" s="168">
        <v>29578</v>
      </c>
      <c r="P19" s="169">
        <f t="shared" ref="P19:P37" si="12">L19*1.05</f>
        <v>14.427000000000001</v>
      </c>
      <c r="Q19" s="170">
        <f t="shared" si="6"/>
        <v>30008.160000000003</v>
      </c>
      <c r="R19" s="232"/>
      <c r="S19" s="233"/>
      <c r="T19" s="108">
        <f t="shared" si="1"/>
        <v>14.85969230769231</v>
      </c>
      <c r="U19" s="109">
        <f t="shared" si="9"/>
        <v>30908.160000000003</v>
      </c>
      <c r="V19" s="108">
        <f t="shared" si="10"/>
        <v>14.979884615384616</v>
      </c>
      <c r="W19" s="303">
        <f t="shared" si="11"/>
        <v>31158.160000000003</v>
      </c>
    </row>
    <row r="20" spans="1:23" x14ac:dyDescent="0.25">
      <c r="A20" s="234" t="s">
        <v>44</v>
      </c>
      <c r="B20" s="235" t="s">
        <v>45</v>
      </c>
      <c r="C20" s="235" t="s">
        <v>46</v>
      </c>
      <c r="D20" s="92">
        <v>16</v>
      </c>
      <c r="E20" s="174" t="e">
        <f>(#REF!/#REF!)-1</f>
        <v>#REF!</v>
      </c>
      <c r="F20" s="94" t="e">
        <f>1+SUM(E18:E21)/4</f>
        <v>#REF!</v>
      </c>
      <c r="G20" s="95" t="e">
        <f>SUM(E18:E21)/4</f>
        <v>#REF!</v>
      </c>
      <c r="H20" s="96">
        <v>13.589135223736482</v>
      </c>
      <c r="I20" s="97">
        <v>28265.401265371886</v>
      </c>
      <c r="J20" s="98" t="e">
        <f>H20*#REF!</f>
        <v>#REF!</v>
      </c>
      <c r="K20" s="99" t="e">
        <f t="shared" si="5"/>
        <v>#REF!</v>
      </c>
      <c r="L20" s="176">
        <v>14.05</v>
      </c>
      <c r="M20" s="177">
        <v>29226</v>
      </c>
      <c r="N20" s="178">
        <f t="shared" si="7"/>
        <v>14.531730769230768</v>
      </c>
      <c r="O20" s="103">
        <v>30226</v>
      </c>
      <c r="P20" s="236">
        <f t="shared" si="12"/>
        <v>14.752500000000001</v>
      </c>
      <c r="Q20" s="105">
        <f t="shared" si="6"/>
        <v>30685.200000000001</v>
      </c>
      <c r="R20" s="180"/>
      <c r="S20" s="181"/>
      <c r="T20" s="108">
        <f t="shared" si="1"/>
        <v>15.185192307692308</v>
      </c>
      <c r="U20" s="109">
        <f t="shared" si="9"/>
        <v>31585.200000000001</v>
      </c>
      <c r="V20" s="108">
        <f t="shared" si="10"/>
        <v>15.305384615384614</v>
      </c>
      <c r="W20" s="303">
        <f t="shared" si="11"/>
        <v>31835.200000000001</v>
      </c>
    </row>
    <row r="21" spans="1:23" x14ac:dyDescent="0.25">
      <c r="A21" s="141"/>
      <c r="B21" s="142"/>
      <c r="C21" s="142"/>
      <c r="D21" s="111">
        <v>17</v>
      </c>
      <c r="E21" s="143" t="e">
        <f>(#REF!/#REF!)-1</f>
        <v>#REF!</v>
      </c>
      <c r="F21" s="144"/>
      <c r="G21" s="144"/>
      <c r="H21" s="184">
        <v>14.274501202131608</v>
      </c>
      <c r="I21" s="185">
        <v>29690.962500433743</v>
      </c>
      <c r="J21" s="114" t="e">
        <f>H21*#REF!</f>
        <v>#REF!</v>
      </c>
      <c r="K21" s="115" t="e">
        <f t="shared" si="5"/>
        <v>#REF!</v>
      </c>
      <c r="L21" s="186">
        <v>14.73</v>
      </c>
      <c r="M21" s="187">
        <v>30641</v>
      </c>
      <c r="N21" s="188">
        <f t="shared" si="7"/>
        <v>15.212019230769233</v>
      </c>
      <c r="O21" s="189">
        <v>31641</v>
      </c>
      <c r="P21" s="190">
        <f t="shared" si="12"/>
        <v>15.466500000000002</v>
      </c>
      <c r="Q21" s="191">
        <f t="shared" si="6"/>
        <v>32170.320000000003</v>
      </c>
      <c r="R21" s="192"/>
      <c r="S21" s="193"/>
      <c r="T21" s="108">
        <f t="shared" si="1"/>
        <v>15.89919230769231</v>
      </c>
      <c r="U21" s="109">
        <f t="shared" si="9"/>
        <v>33070.320000000007</v>
      </c>
      <c r="V21" s="108">
        <f t="shared" si="10"/>
        <v>16.019384615384617</v>
      </c>
      <c r="W21" s="303">
        <f t="shared" si="11"/>
        <v>33320.320000000007</v>
      </c>
    </row>
    <row r="22" spans="1:23" ht="16.5" thickBot="1" x14ac:dyDescent="0.3">
      <c r="A22" s="157"/>
      <c r="B22" s="158"/>
      <c r="C22" s="158"/>
      <c r="D22" s="122">
        <v>18</v>
      </c>
      <c r="E22" s="237" t="e">
        <f>(#REF!/#REF!)-1</f>
        <v>#REF!</v>
      </c>
      <c r="F22" s="160"/>
      <c r="G22" s="160"/>
      <c r="H22" s="238">
        <v>14.76736604352268</v>
      </c>
      <c r="I22" s="239">
        <v>30716.121370527173</v>
      </c>
      <c r="J22" s="125" t="e">
        <f>H22*#REF!</f>
        <v>#REF!</v>
      </c>
      <c r="K22" s="126" t="e">
        <f t="shared" si="5"/>
        <v>#REF!</v>
      </c>
      <c r="L22" s="240">
        <v>15.23</v>
      </c>
      <c r="M22" s="241">
        <v>31668</v>
      </c>
      <c r="N22" s="202">
        <f t="shared" si="7"/>
        <v>15.715384615384616</v>
      </c>
      <c r="O22" s="203">
        <f>32688</f>
        <v>32688</v>
      </c>
      <c r="P22" s="242">
        <f t="shared" si="12"/>
        <v>15.9915</v>
      </c>
      <c r="Q22" s="205">
        <f t="shared" si="6"/>
        <v>33262.32</v>
      </c>
      <c r="R22" s="206"/>
      <c r="S22" s="207"/>
      <c r="T22" s="108">
        <f t="shared" si="1"/>
        <v>16.424192307692309</v>
      </c>
      <c r="U22" s="109">
        <f t="shared" si="9"/>
        <v>34162.32</v>
      </c>
      <c r="V22" s="108">
        <f t="shared" si="10"/>
        <v>16.544384615384615</v>
      </c>
      <c r="W22" s="303">
        <f t="shared" si="11"/>
        <v>34412.32</v>
      </c>
    </row>
    <row r="23" spans="1:23" x14ac:dyDescent="0.25">
      <c r="A23" s="132" t="s">
        <v>47</v>
      </c>
      <c r="B23" s="133" t="s">
        <v>48</v>
      </c>
      <c r="C23" s="133" t="s">
        <v>49</v>
      </c>
      <c r="D23" s="92">
        <v>19</v>
      </c>
      <c r="E23" s="174" t="e">
        <f>(#REF!/#REF!)-1</f>
        <v>#REF!</v>
      </c>
      <c r="F23" s="175"/>
      <c r="G23" s="175"/>
      <c r="H23" s="243">
        <v>15.433636734869145</v>
      </c>
      <c r="I23" s="244">
        <v>32101.964408527823</v>
      </c>
      <c r="J23" s="135" t="e">
        <f>H23*#REF!</f>
        <v>#REF!</v>
      </c>
      <c r="K23" s="136" t="e">
        <f t="shared" si="5"/>
        <v>#REF!</v>
      </c>
      <c r="L23" s="245">
        <v>15.9</v>
      </c>
      <c r="M23" s="246">
        <v>33065</v>
      </c>
      <c r="N23" s="217" t="e" cm="1">
        <f t="array" ref="N23">SUM(T2O23/52)/40</f>
        <v>#NAME?</v>
      </c>
      <c r="O23" s="218">
        <v>34065</v>
      </c>
      <c r="P23" s="219">
        <f t="shared" si="12"/>
        <v>16.695</v>
      </c>
      <c r="Q23" s="220">
        <f t="shared" si="6"/>
        <v>34725.599999999999</v>
      </c>
      <c r="R23" s="221"/>
      <c r="S23" s="222"/>
      <c r="T23" s="108">
        <f t="shared" si="1"/>
        <v>17.127692307692307</v>
      </c>
      <c r="U23" s="109">
        <f t="shared" si="9"/>
        <v>35625.599999999999</v>
      </c>
      <c r="V23" s="108">
        <f t="shared" si="10"/>
        <v>17.247884615384613</v>
      </c>
      <c r="W23" s="303">
        <f t="shared" si="11"/>
        <v>35875.599999999999</v>
      </c>
    </row>
    <row r="24" spans="1:23" x14ac:dyDescent="0.25">
      <c r="A24" s="141"/>
      <c r="B24" s="142"/>
      <c r="C24" s="142"/>
      <c r="D24" s="111">
        <v>20</v>
      </c>
      <c r="E24" s="143" t="e">
        <f>(#REF!/#REF!)-1</f>
        <v>#REF!</v>
      </c>
      <c r="F24" s="144"/>
      <c r="G24" s="144"/>
      <c r="H24" s="145">
        <v>16.059136407922527</v>
      </c>
      <c r="I24" s="146">
        <v>33403.003728478856</v>
      </c>
      <c r="J24" s="147" t="e">
        <f>H24*#REF!</f>
        <v>#REF!</v>
      </c>
      <c r="K24" s="148" t="e">
        <f t="shared" si="5"/>
        <v>#REF!</v>
      </c>
      <c r="L24" s="149">
        <v>16.54</v>
      </c>
      <c r="M24" s="150">
        <v>34405</v>
      </c>
      <c r="N24" s="151">
        <f t="shared" ref="N24:N43" si="13">SUM(O24/52)/40</f>
        <v>17.021634615384617</v>
      </c>
      <c r="O24" s="152">
        <v>35405</v>
      </c>
      <c r="P24" s="153">
        <f t="shared" si="12"/>
        <v>17.367000000000001</v>
      </c>
      <c r="Q24" s="154">
        <f t="shared" si="6"/>
        <v>36123.360000000001</v>
      </c>
      <c r="R24" s="155"/>
      <c r="S24" s="156"/>
      <c r="T24" s="108">
        <f t="shared" si="1"/>
        <v>17.799692307692307</v>
      </c>
      <c r="U24" s="109">
        <f t="shared" si="9"/>
        <v>37023.360000000001</v>
      </c>
      <c r="V24" s="108">
        <f t="shared" si="10"/>
        <v>17.919884615384618</v>
      </c>
      <c r="W24" s="303">
        <f t="shared" si="11"/>
        <v>37273.360000000001</v>
      </c>
    </row>
    <row r="25" spans="1:23" ht="16.5" thickBot="1" x14ac:dyDescent="0.3">
      <c r="A25" s="157"/>
      <c r="B25" s="158"/>
      <c r="C25" s="158"/>
      <c r="D25" s="122">
        <v>21</v>
      </c>
      <c r="E25" s="159" t="e">
        <f>(#REF!/#REF!)-1</f>
        <v>#REF!</v>
      </c>
      <c r="F25" s="160"/>
      <c r="G25" s="160"/>
      <c r="H25" s="161">
        <v>16.561806937257508</v>
      </c>
      <c r="I25" s="162">
        <v>34448.558429495621</v>
      </c>
      <c r="J25" s="163" t="e">
        <f>H25*#REF!</f>
        <v>#REF!</v>
      </c>
      <c r="K25" s="164" t="e">
        <f t="shared" si="5"/>
        <v>#REF!</v>
      </c>
      <c r="L25" s="165">
        <v>17.059999999999999</v>
      </c>
      <c r="M25" s="166">
        <v>35482</v>
      </c>
      <c r="N25" s="167">
        <f t="shared" si="13"/>
        <v>17.539423076923079</v>
      </c>
      <c r="O25" s="168">
        <v>36482</v>
      </c>
      <c r="P25" s="169">
        <f t="shared" si="12"/>
        <v>17.913</v>
      </c>
      <c r="Q25" s="170">
        <f t="shared" si="6"/>
        <v>37259.040000000001</v>
      </c>
      <c r="R25" s="247"/>
      <c r="S25" s="171"/>
      <c r="T25" s="108">
        <f t="shared" si="1"/>
        <v>18.345692307692307</v>
      </c>
      <c r="U25" s="109">
        <f t="shared" si="9"/>
        <v>38159.040000000001</v>
      </c>
      <c r="V25" s="108">
        <f t="shared" si="10"/>
        <v>18.465884615384617</v>
      </c>
      <c r="W25" s="303">
        <f t="shared" si="11"/>
        <v>38409.040000000001</v>
      </c>
    </row>
    <row r="26" spans="1:23" x14ac:dyDescent="0.25">
      <c r="A26" s="305" t="s">
        <v>50</v>
      </c>
      <c r="B26" s="173" t="s">
        <v>51</v>
      </c>
      <c r="C26" s="173" t="s">
        <v>52</v>
      </c>
      <c r="D26" s="209">
        <v>22</v>
      </c>
      <c r="E26" s="248" t="e">
        <f>(#REF!/#REF!)-1</f>
        <v>#REF!</v>
      </c>
      <c r="F26" s="211" t="e">
        <f>1+E26</f>
        <v>#REF!</v>
      </c>
      <c r="G26" s="212" t="e">
        <f>E23</f>
        <v>#REF!</v>
      </c>
      <c r="H26" s="249">
        <v>17.423211668655405</v>
      </c>
      <c r="I26" s="250">
        <v>36240.280270803247</v>
      </c>
      <c r="J26" s="251" t="e">
        <f>H26*#REF!</f>
        <v>#REF!</v>
      </c>
      <c r="K26" s="252" t="e">
        <f t="shared" si="5"/>
        <v>#REF!</v>
      </c>
      <c r="L26" s="176">
        <v>17.95</v>
      </c>
      <c r="M26" s="177">
        <v>37327</v>
      </c>
      <c r="N26" s="178">
        <f t="shared" si="13"/>
        <v>18.426442307692305</v>
      </c>
      <c r="O26" s="103">
        <v>38327</v>
      </c>
      <c r="P26" s="236">
        <f t="shared" si="12"/>
        <v>18.8475</v>
      </c>
      <c r="Q26" s="105">
        <f t="shared" si="6"/>
        <v>39202.799999999996</v>
      </c>
      <c r="R26" s="253"/>
      <c r="S26" s="254"/>
      <c r="T26" s="108">
        <f t="shared" si="1"/>
        <v>19.280192307692307</v>
      </c>
      <c r="U26" s="109">
        <f t="shared" si="9"/>
        <v>40102.799999999996</v>
      </c>
      <c r="V26" s="108">
        <f t="shared" si="10"/>
        <v>19.318687499999996</v>
      </c>
      <c r="W26" s="303">
        <f>Q26*102.5%</f>
        <v>40182.869999999995</v>
      </c>
    </row>
    <row r="27" spans="1:23" x14ac:dyDescent="0.25">
      <c r="A27" s="182"/>
      <c r="B27" s="183"/>
      <c r="C27" s="183"/>
      <c r="D27" s="111">
        <v>23</v>
      </c>
      <c r="E27" s="255" t="e">
        <f>(#REF!/#REF!)-1</f>
        <v>#REF!</v>
      </c>
      <c r="F27" s="256"/>
      <c r="G27" s="257"/>
      <c r="H27" s="258">
        <v>18.46929488676107</v>
      </c>
      <c r="I27" s="259">
        <v>38416.133364463021</v>
      </c>
      <c r="J27" s="260" t="e">
        <f>H27*#REF!</f>
        <v>#REF!</v>
      </c>
      <c r="K27" s="261" t="e">
        <f t="shared" si="5"/>
        <v>#REF!</v>
      </c>
      <c r="L27" s="186">
        <v>19.02</v>
      </c>
      <c r="M27" s="187">
        <v>39569</v>
      </c>
      <c r="N27" s="188">
        <f t="shared" si="13"/>
        <v>19.504326923076924</v>
      </c>
      <c r="O27" s="189">
        <v>40569</v>
      </c>
      <c r="P27" s="236">
        <f t="shared" si="12"/>
        <v>19.971</v>
      </c>
      <c r="Q27" s="191">
        <f t="shared" si="6"/>
        <v>41539.68</v>
      </c>
      <c r="R27" s="192"/>
      <c r="S27" s="193"/>
      <c r="T27" s="108">
        <f t="shared" si="1"/>
        <v>20.403692307692307</v>
      </c>
      <c r="U27" s="109">
        <f t="shared" si="9"/>
        <v>42439.68</v>
      </c>
      <c r="V27" s="108">
        <f t="shared" si="10"/>
        <v>20.470274999999997</v>
      </c>
      <c r="W27" s="303">
        <f t="shared" ref="W27:W37" si="14">Q27*102.5%</f>
        <v>42578.171999999999</v>
      </c>
    </row>
    <row r="28" spans="1:23" x14ac:dyDescent="0.25">
      <c r="A28" s="182"/>
      <c r="B28" s="183"/>
      <c r="C28" s="183"/>
      <c r="D28" s="111">
        <v>24</v>
      </c>
      <c r="E28" s="248" t="e">
        <f>(#REF!/#REF!)-1</f>
        <v>#REF!</v>
      </c>
      <c r="F28" s="224"/>
      <c r="G28" s="262"/>
      <c r="H28" s="184">
        <v>19.596797389822729</v>
      </c>
      <c r="I28" s="185">
        <v>40761.338570831278</v>
      </c>
      <c r="J28" s="263" t="e">
        <f>H28*#REF!</f>
        <v>#REF!</v>
      </c>
      <c r="K28" s="264" t="e">
        <f t="shared" si="5"/>
        <v>#REF!</v>
      </c>
      <c r="L28" s="186">
        <v>20.18</v>
      </c>
      <c r="M28" s="187">
        <v>41984</v>
      </c>
      <c r="N28" s="188">
        <f t="shared" si="13"/>
        <v>20.665384615384617</v>
      </c>
      <c r="O28" s="189">
        <v>42984</v>
      </c>
      <c r="P28" s="236">
        <f t="shared" si="12"/>
        <v>21.189</v>
      </c>
      <c r="Q28" s="191">
        <f t="shared" si="6"/>
        <v>44073.119999999995</v>
      </c>
      <c r="R28" s="192"/>
      <c r="S28" s="193"/>
      <c r="T28" s="108">
        <f t="shared" si="1"/>
        <v>21.621692307692307</v>
      </c>
      <c r="U28" s="109">
        <f t="shared" si="9"/>
        <v>44973.119999999995</v>
      </c>
      <c r="V28" s="108">
        <f t="shared" si="10"/>
        <v>21.718724999999992</v>
      </c>
      <c r="W28" s="303">
        <f t="shared" si="14"/>
        <v>45174.947999999989</v>
      </c>
    </row>
    <row r="29" spans="1:23" x14ac:dyDescent="0.25">
      <c r="A29" s="182"/>
      <c r="B29" s="183"/>
      <c r="C29" s="183"/>
      <c r="D29" s="111">
        <v>25</v>
      </c>
      <c r="E29" s="248" t="e">
        <f>(#REF!/#REF!)-1</f>
        <v>#REF!</v>
      </c>
      <c r="F29" s="224"/>
      <c r="G29" s="262"/>
      <c r="H29" s="184">
        <v>20.784591388706254</v>
      </c>
      <c r="I29" s="185">
        <v>43231.950088509009</v>
      </c>
      <c r="J29" s="263" t="e">
        <f>H29*#REF!</f>
        <v>#REF!</v>
      </c>
      <c r="K29" s="264" t="e">
        <f t="shared" si="5"/>
        <v>#REF!</v>
      </c>
      <c r="L29" s="186">
        <v>21.41</v>
      </c>
      <c r="M29" s="187">
        <v>44529</v>
      </c>
      <c r="N29" s="188">
        <f t="shared" si="13"/>
        <v>21.888942307692307</v>
      </c>
      <c r="O29" s="189">
        <v>45529</v>
      </c>
      <c r="P29" s="236">
        <f t="shared" si="12"/>
        <v>22.480500000000003</v>
      </c>
      <c r="Q29" s="191">
        <f t="shared" si="6"/>
        <v>46759.44000000001</v>
      </c>
      <c r="R29" s="192"/>
      <c r="S29" s="193"/>
      <c r="T29" s="108">
        <f t="shared" si="1"/>
        <v>22.913192307692313</v>
      </c>
      <c r="U29" s="109">
        <f t="shared" si="9"/>
        <v>47659.44000000001</v>
      </c>
      <c r="V29" s="108">
        <f t="shared" si="10"/>
        <v>23.042512500000004</v>
      </c>
      <c r="W29" s="303">
        <f t="shared" si="14"/>
        <v>47928.426000000007</v>
      </c>
    </row>
    <row r="30" spans="1:23" x14ac:dyDescent="0.25">
      <c r="A30" s="182"/>
      <c r="B30" s="183"/>
      <c r="C30" s="183"/>
      <c r="D30" s="111">
        <v>26</v>
      </c>
      <c r="E30" s="255" t="e">
        <f>(#REF!/#REF!)-1</f>
        <v>#REF!</v>
      </c>
      <c r="F30" s="256"/>
      <c r="G30" s="257"/>
      <c r="H30" s="258">
        <v>21.408634136058943</v>
      </c>
      <c r="I30" s="259">
        <v>44529.959003002601</v>
      </c>
      <c r="J30" s="260" t="e">
        <f>H30*#REF!</f>
        <v>#REF!</v>
      </c>
      <c r="K30" s="261" t="e">
        <f t="shared" si="5"/>
        <v>#REF!</v>
      </c>
      <c r="L30" s="186">
        <v>22.05</v>
      </c>
      <c r="M30" s="187">
        <v>45866</v>
      </c>
      <c r="N30" s="188">
        <f t="shared" si="13"/>
        <v>22.531730769230769</v>
      </c>
      <c r="O30" s="189">
        <v>46866</v>
      </c>
      <c r="P30" s="236">
        <f t="shared" si="12"/>
        <v>23.152500000000003</v>
      </c>
      <c r="Q30" s="191">
        <f t="shared" si="6"/>
        <v>48157.200000000004</v>
      </c>
      <c r="R30" s="192"/>
      <c r="S30" s="193"/>
      <c r="T30" s="108">
        <f t="shared" si="1"/>
        <v>23.58519230769231</v>
      </c>
      <c r="U30" s="109">
        <f t="shared" si="9"/>
        <v>49057.200000000004</v>
      </c>
      <c r="V30" s="108">
        <f t="shared" si="10"/>
        <v>23.731312499999998</v>
      </c>
      <c r="W30" s="303">
        <f t="shared" si="14"/>
        <v>49361.13</v>
      </c>
    </row>
    <row r="31" spans="1:23" ht="16.5" thickBot="1" x14ac:dyDescent="0.3">
      <c r="A31" s="182"/>
      <c r="B31" s="183"/>
      <c r="C31" s="183"/>
      <c r="D31" s="122">
        <v>27</v>
      </c>
      <c r="E31" s="265" t="e">
        <f>(#REF!/#REF!)-1</f>
        <v>#REF!</v>
      </c>
      <c r="F31" s="266"/>
      <c r="G31" s="267"/>
      <c r="H31" s="238">
        <v>22.707220199914243</v>
      </c>
      <c r="I31" s="239">
        <v>47231.018015821624</v>
      </c>
      <c r="J31" s="268" t="e">
        <f>H31*#REF!</f>
        <v>#REF!</v>
      </c>
      <c r="K31" s="269" t="e">
        <f t="shared" si="5"/>
        <v>#REF!</v>
      </c>
      <c r="L31" s="240">
        <v>23.39</v>
      </c>
      <c r="M31" s="241">
        <v>48648</v>
      </c>
      <c r="N31" s="202">
        <f t="shared" si="13"/>
        <v>23.869230769230768</v>
      </c>
      <c r="O31" s="203">
        <v>49648</v>
      </c>
      <c r="P31" s="270">
        <f t="shared" si="12"/>
        <v>24.5595</v>
      </c>
      <c r="Q31" s="205">
        <f t="shared" si="6"/>
        <v>51083.76</v>
      </c>
      <c r="R31" s="206"/>
      <c r="S31" s="207"/>
      <c r="T31" s="108">
        <f t="shared" si="1"/>
        <v>24.99219230769231</v>
      </c>
      <c r="U31" s="109">
        <f t="shared" si="9"/>
        <v>51983.76</v>
      </c>
      <c r="V31" s="108">
        <f t="shared" si="10"/>
        <v>25.1734875</v>
      </c>
      <c r="W31" s="303">
        <f t="shared" si="14"/>
        <v>52360.853999999999</v>
      </c>
    </row>
    <row r="32" spans="1:23" x14ac:dyDescent="0.25">
      <c r="A32" s="182"/>
      <c r="B32" s="183"/>
      <c r="C32" s="183"/>
      <c r="D32" s="209">
        <v>28</v>
      </c>
      <c r="E32" s="255" t="e">
        <f>(#REF!/#REF!)-1</f>
        <v>#REF!</v>
      </c>
      <c r="F32" s="271"/>
      <c r="G32" s="272"/>
      <c r="H32" s="273">
        <v>23.385370699927567</v>
      </c>
      <c r="I32" s="274">
        <v>48641.571055849337</v>
      </c>
      <c r="J32" s="275" t="e">
        <f>H32*#REF!</f>
        <v>#REF!</v>
      </c>
      <c r="K32" s="276" t="e">
        <f t="shared" si="5"/>
        <v>#REF!</v>
      </c>
      <c r="L32" s="277">
        <v>24.09</v>
      </c>
      <c r="M32" s="278">
        <v>50101</v>
      </c>
      <c r="N32" s="102">
        <f t="shared" si="13"/>
        <v>24.568759615384618</v>
      </c>
      <c r="O32" s="103">
        <f t="shared" ref="O32:O37" si="15">M32*1.02</f>
        <v>51103.020000000004</v>
      </c>
      <c r="P32" s="104">
        <f t="shared" si="12"/>
        <v>25.294499999999999</v>
      </c>
      <c r="Q32" s="105">
        <f t="shared" si="6"/>
        <v>52612.56</v>
      </c>
      <c r="R32" s="253"/>
      <c r="S32" s="254"/>
      <c r="T32" s="108">
        <f t="shared" si="1"/>
        <v>25.727192307692306</v>
      </c>
      <c r="U32" s="109">
        <f t="shared" si="9"/>
        <v>53512.56</v>
      </c>
      <c r="V32" s="108">
        <f t="shared" si="10"/>
        <v>25.926862499999995</v>
      </c>
      <c r="W32" s="303">
        <f t="shared" si="14"/>
        <v>53927.873999999996</v>
      </c>
    </row>
    <row r="33" spans="1:23" x14ac:dyDescent="0.25">
      <c r="A33" s="182"/>
      <c r="B33" s="183"/>
      <c r="C33" s="183"/>
      <c r="D33" s="111">
        <v>29</v>
      </c>
      <c r="E33" s="255" t="e">
        <f>(#REF!/#REF!)-1</f>
        <v>#REF!</v>
      </c>
      <c r="F33" s="256"/>
      <c r="G33" s="257"/>
      <c r="H33" s="258">
        <v>24.085679612935245</v>
      </c>
      <c r="I33" s="259">
        <v>50098.213594905312</v>
      </c>
      <c r="J33" s="258" t="e">
        <f>H33*#REF!</f>
        <v>#REF!</v>
      </c>
      <c r="K33" s="259" t="e">
        <f t="shared" si="5"/>
        <v>#REF!</v>
      </c>
      <c r="L33" s="186">
        <v>24.81</v>
      </c>
      <c r="M33" s="187">
        <v>51601</v>
      </c>
      <c r="N33" s="188">
        <f t="shared" si="13"/>
        <v>25.304336538461541</v>
      </c>
      <c r="O33" s="189">
        <f t="shared" si="15"/>
        <v>52633.020000000004</v>
      </c>
      <c r="P33" s="236">
        <f t="shared" si="12"/>
        <v>26.0505</v>
      </c>
      <c r="Q33" s="191">
        <f t="shared" si="6"/>
        <v>54185.04</v>
      </c>
      <c r="R33" s="192"/>
      <c r="S33" s="193"/>
      <c r="T33" s="108">
        <f t="shared" si="1"/>
        <v>26.483192307692306</v>
      </c>
      <c r="U33" s="109">
        <f t="shared" si="9"/>
        <v>55085.04</v>
      </c>
      <c r="V33" s="108">
        <f t="shared" si="10"/>
        <v>26.701762499999997</v>
      </c>
      <c r="W33" s="303">
        <f t="shared" si="14"/>
        <v>55539.665999999997</v>
      </c>
    </row>
    <row r="34" spans="1:23" x14ac:dyDescent="0.25">
      <c r="A34" s="182"/>
      <c r="B34" s="183"/>
      <c r="C34" s="183"/>
      <c r="D34" s="111">
        <v>30</v>
      </c>
      <c r="E34" s="255" t="e">
        <f>(#REF!/#REF!)-1</f>
        <v>#REF!</v>
      </c>
      <c r="F34" s="256"/>
      <c r="G34" s="257"/>
      <c r="H34" s="258">
        <v>24.804539755426578</v>
      </c>
      <c r="I34" s="259">
        <v>51593.44269128728</v>
      </c>
      <c r="J34" s="258" t="e">
        <f>H34*#REF!</f>
        <v>#REF!</v>
      </c>
      <c r="K34" s="259" t="e">
        <f t="shared" si="5"/>
        <v>#REF!</v>
      </c>
      <c r="L34" s="186">
        <v>25.55</v>
      </c>
      <c r="M34" s="187">
        <v>53141</v>
      </c>
      <c r="N34" s="188">
        <f t="shared" si="13"/>
        <v>26.059528846153846</v>
      </c>
      <c r="O34" s="189">
        <f t="shared" si="15"/>
        <v>54203.82</v>
      </c>
      <c r="P34" s="236">
        <f t="shared" si="12"/>
        <v>26.827500000000001</v>
      </c>
      <c r="Q34" s="191">
        <f t="shared" si="6"/>
        <v>55801.2</v>
      </c>
      <c r="R34" s="192"/>
      <c r="S34" s="193"/>
      <c r="T34" s="108">
        <f t="shared" si="1"/>
        <v>27.260192307692307</v>
      </c>
      <c r="U34" s="109">
        <f t="shared" si="9"/>
        <v>56701.2</v>
      </c>
      <c r="V34" s="108">
        <f t="shared" si="10"/>
        <v>27.498187499999993</v>
      </c>
      <c r="W34" s="303">
        <f t="shared" si="14"/>
        <v>57196.229999999989</v>
      </c>
    </row>
    <row r="35" spans="1:23" x14ac:dyDescent="0.25">
      <c r="A35" s="182"/>
      <c r="B35" s="183"/>
      <c r="C35" s="183"/>
      <c r="D35" s="111">
        <v>31</v>
      </c>
      <c r="E35" s="248" t="e">
        <f>(#REF!/#REF!)-1</f>
        <v>#REF!</v>
      </c>
      <c r="F35" s="224"/>
      <c r="G35" s="262"/>
      <c r="H35" s="184">
        <v>25.546588934772462</v>
      </c>
      <c r="I35" s="185">
        <v>53136.90498432672</v>
      </c>
      <c r="J35" s="263" t="e">
        <f>H35*#REF!</f>
        <v>#REF!</v>
      </c>
      <c r="K35" s="264" t="e">
        <f t="shared" si="5"/>
        <v>#REF!</v>
      </c>
      <c r="L35" s="186">
        <v>26.31</v>
      </c>
      <c r="M35" s="187">
        <v>54731</v>
      </c>
      <c r="N35" s="188">
        <f t="shared" si="13"/>
        <v>26.839240384615387</v>
      </c>
      <c r="O35" s="189">
        <f t="shared" si="15"/>
        <v>55825.62</v>
      </c>
      <c r="P35" s="236">
        <f t="shared" si="12"/>
        <v>27.625499999999999</v>
      </c>
      <c r="Q35" s="191">
        <f t="shared" si="6"/>
        <v>57461.04</v>
      </c>
      <c r="R35" s="192"/>
      <c r="S35" s="193"/>
      <c r="T35" s="108">
        <f t="shared" si="1"/>
        <v>28.058192307692309</v>
      </c>
      <c r="U35" s="109">
        <f t="shared" si="9"/>
        <v>58361.04</v>
      </c>
      <c r="V35" s="108">
        <f t="shared" si="10"/>
        <v>28.3161375</v>
      </c>
      <c r="W35" s="303">
        <f t="shared" si="14"/>
        <v>58897.565999999999</v>
      </c>
    </row>
    <row r="36" spans="1:23" x14ac:dyDescent="0.25">
      <c r="A36" s="182"/>
      <c r="B36" s="183"/>
      <c r="C36" s="183"/>
      <c r="D36" s="111">
        <v>32</v>
      </c>
      <c r="E36" s="255" t="e">
        <f>(#REF!/#REF!)-1</f>
        <v>#REF!</v>
      </c>
      <c r="F36" s="256"/>
      <c r="G36" s="257"/>
      <c r="H36" s="258">
        <v>26.310281215182606</v>
      </c>
      <c r="I36" s="259">
        <v>54725.38492757982</v>
      </c>
      <c r="J36" s="260" t="e">
        <f>H36*#REF!</f>
        <v>#REF!</v>
      </c>
      <c r="K36" s="261" t="e">
        <f t="shared" si="5"/>
        <v>#REF!</v>
      </c>
      <c r="L36" s="186">
        <v>27.1</v>
      </c>
      <c r="M36" s="187">
        <v>56367</v>
      </c>
      <c r="N36" s="188">
        <f t="shared" si="13"/>
        <v>27.641509615384614</v>
      </c>
      <c r="O36" s="189">
        <f t="shared" si="15"/>
        <v>57494.340000000004</v>
      </c>
      <c r="P36" s="236">
        <f t="shared" si="12"/>
        <v>28.455000000000002</v>
      </c>
      <c r="Q36" s="191">
        <f t="shared" si="6"/>
        <v>59186.400000000001</v>
      </c>
      <c r="R36" s="192"/>
      <c r="S36" s="193"/>
      <c r="T36" s="108">
        <f t="shared" si="1"/>
        <v>28.887692307692308</v>
      </c>
      <c r="U36" s="109">
        <f t="shared" si="9"/>
        <v>60086.400000000001</v>
      </c>
      <c r="V36" s="108">
        <f t="shared" si="10"/>
        <v>29.166374999999999</v>
      </c>
      <c r="W36" s="303">
        <f t="shared" si="14"/>
        <v>60666.06</v>
      </c>
    </row>
    <row r="37" spans="1:23" ht="16.5" thickBot="1" x14ac:dyDescent="0.3">
      <c r="A37" s="194"/>
      <c r="B37" s="195"/>
      <c r="C37" s="195"/>
      <c r="D37" s="122">
        <v>33</v>
      </c>
      <c r="E37" s="306" t="e">
        <f>(#REF!/#REF!)-1</f>
        <v>#REF!</v>
      </c>
      <c r="F37" s="307"/>
      <c r="G37" s="308"/>
      <c r="H37" s="198">
        <v>27.097677844377408</v>
      </c>
      <c r="I37" s="199">
        <v>56363.169916305007</v>
      </c>
      <c r="J37" s="309" t="e">
        <f>H37*#REF!</f>
        <v>#REF!</v>
      </c>
      <c r="K37" s="310" t="e">
        <f t="shared" si="5"/>
        <v>#REF!</v>
      </c>
      <c r="L37" s="240">
        <v>27.91</v>
      </c>
      <c r="M37" s="241">
        <v>58054</v>
      </c>
      <c r="N37" s="311">
        <f t="shared" si="13"/>
        <v>28.468788461538463</v>
      </c>
      <c r="O37" s="203">
        <f t="shared" si="15"/>
        <v>59215.08</v>
      </c>
      <c r="P37" s="242">
        <f t="shared" si="12"/>
        <v>29.305500000000002</v>
      </c>
      <c r="Q37" s="205">
        <f t="shared" si="6"/>
        <v>60955.44</v>
      </c>
      <c r="R37" s="206"/>
      <c r="S37" s="207"/>
      <c r="T37" s="312">
        <f t="shared" si="1"/>
        <v>29.738192307692309</v>
      </c>
      <c r="U37" s="313">
        <f t="shared" si="9"/>
        <v>61855.44</v>
      </c>
      <c r="V37" s="312">
        <f t="shared" si="10"/>
        <v>30.038137499999998</v>
      </c>
      <c r="W37" s="314">
        <f t="shared" si="14"/>
        <v>62479.325999999994</v>
      </c>
    </row>
    <row r="52" spans="20:20" x14ac:dyDescent="0.25">
      <c r="T52" s="289"/>
    </row>
    <row r="53" spans="20:20" x14ac:dyDescent="0.25">
      <c r="T53" s="289"/>
    </row>
    <row r="54" spans="20:20" x14ac:dyDescent="0.25">
      <c r="T54" s="290"/>
    </row>
  </sheetData>
  <mergeCells count="62">
    <mergeCell ref="A23:A25"/>
    <mergeCell ref="B23:B25"/>
    <mergeCell ref="C23:C25"/>
    <mergeCell ref="A26:A37"/>
    <mergeCell ref="B26:B37"/>
    <mergeCell ref="C26:C37"/>
    <mergeCell ref="A17:A19"/>
    <mergeCell ref="B17:B19"/>
    <mergeCell ref="C17:C19"/>
    <mergeCell ref="A20:A22"/>
    <mergeCell ref="B20:B22"/>
    <mergeCell ref="C20:C22"/>
    <mergeCell ref="A11:A13"/>
    <mergeCell ref="B11:B13"/>
    <mergeCell ref="C11:C13"/>
    <mergeCell ref="A14:A16"/>
    <mergeCell ref="B14:B16"/>
    <mergeCell ref="C14:C16"/>
    <mergeCell ref="U6:U7"/>
    <mergeCell ref="V6:V7"/>
    <mergeCell ref="W6:W7"/>
    <mergeCell ref="A8:A10"/>
    <mergeCell ref="B8:B10"/>
    <mergeCell ref="C8:C10"/>
    <mergeCell ref="O6:O7"/>
    <mergeCell ref="P6:P7"/>
    <mergeCell ref="Q6:Q7"/>
    <mergeCell ref="R6:R7"/>
    <mergeCell ref="S6:S7"/>
    <mergeCell ref="T6:T7"/>
    <mergeCell ref="I6:I7"/>
    <mergeCell ref="J6:J7"/>
    <mergeCell ref="K6:K7"/>
    <mergeCell ref="L6:L7"/>
    <mergeCell ref="M6:M7"/>
    <mergeCell ref="N6:N7"/>
    <mergeCell ref="S4:S5"/>
    <mergeCell ref="T4:T5"/>
    <mergeCell ref="U4:U5"/>
    <mergeCell ref="V4:V5"/>
    <mergeCell ref="W4:W5"/>
    <mergeCell ref="A6:A7"/>
    <mergeCell ref="B6:B7"/>
    <mergeCell ref="C6:C7"/>
    <mergeCell ref="D6:D7"/>
    <mergeCell ref="H6:H7"/>
    <mergeCell ref="M4:M5"/>
    <mergeCell ref="N4:N5"/>
    <mergeCell ref="O4:O5"/>
    <mergeCell ref="P4:P5"/>
    <mergeCell ref="Q4:Q5"/>
    <mergeCell ref="R4:R5"/>
    <mergeCell ref="A1:S1"/>
    <mergeCell ref="A4:A5"/>
    <mergeCell ref="B4:B5"/>
    <mergeCell ref="C4:C5"/>
    <mergeCell ref="D4:D5"/>
    <mergeCell ref="H4:H5"/>
    <mergeCell ref="I4:I5"/>
    <mergeCell ref="J4:J5"/>
    <mergeCell ref="K4:K5"/>
    <mergeCell ref="L4:L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Shedlock</dc:creator>
  <cp:lastModifiedBy>Alison Shedlock</cp:lastModifiedBy>
  <dcterms:created xsi:type="dcterms:W3CDTF">2024-09-24T11:49:58Z</dcterms:created>
  <dcterms:modified xsi:type="dcterms:W3CDTF">2024-09-24T12:20:46Z</dcterms:modified>
</cp:coreProperties>
</file>